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ier\02_territoires\zorn\2023 MARS\"/>
    </mc:Choice>
  </mc:AlternateContent>
  <bookViews>
    <workbookView xWindow="0" yWindow="0" windowWidth="27750" windowHeight="12915" firstSheet="1" activeTab="1"/>
  </bookViews>
  <sheets>
    <sheet name="7%" sheetId="14" state="hidden" r:id="rId1"/>
    <sheet name="simulateur" sheetId="6" r:id="rId2"/>
    <sheet name="commentaires" sheetId="11" r:id="rId3"/>
  </sheets>
  <externalReferences>
    <externalReference r:id="rId4"/>
  </externalReferences>
  <definedNames>
    <definedName name="Augmentationgénérale">'7%'!$N$12</definedName>
    <definedName name="EcartMiniMaxi">'7%'!$N$37</definedName>
    <definedName name="Horscollectivité">'7%'!$N$39</definedName>
    <definedName name="MAjo1jour">'7%'!$N$17</definedName>
    <definedName name="Majo2jours">'7%'!$N$15</definedName>
    <definedName name="midisoir">'7%'!$N$13</definedName>
    <definedName name="midisoirmercredi">'7%'!$N$14</definedName>
    <definedName name="Ponctuelmercredi">'7%'!$N$20</definedName>
    <definedName name="Ponctuelpéri">'7%'!$N$18</definedName>
    <definedName name="QFplafond">'7%'!$N$26</definedName>
    <definedName name="QFplancher">'7%'!$N$23</definedName>
    <definedName name="wrn.SYNTHESE." hidden="1">{#N/A,#N/A,FALSE,"RECAP";#N/A,#N/A,FALSE,"FG Dep";#N/A,#N/A,FALSE,"FG Rec";#N/A,#N/A,FALSE,"CLSH Dep";#N/A,#N/A,FALSE,"CLSH Rec";#N/A,#N/A,FALSE,"COLOS Dep";#N/A,#N/A,FALSE,"COLOS Rec";#N/A,#N/A,FALSE,"FORM Dep";#N/A,#N/A,FALSE,"FORM Rec";#N/A,#N/A,FALSE,"VOIL Dep";#N/A,#N/A,FALSE,"VOIL Rec";#N/A,#N/A,FALSE,"Espar Dep";#N/A,#N/A,FALSE,"Espar Rec";#N/A,#N/A,FALSE,"DIV Dep";#N/A,#N/A,FALSE,"DIV Rec";#N/A,#N/A,FALSE,"FETE"}</definedName>
    <definedName name="_xlnm.Print_Area" localSheetId="0">'7%'!$A$1:$L$60</definedName>
    <definedName name="_xlnm.Print_Area" localSheetId="2">commentaires!$A$1:$M$50</definedName>
  </definedNames>
  <calcPr calcId="162913"/>
</workbook>
</file>

<file path=xl/calcChain.xml><?xml version="1.0" encoding="utf-8"?>
<calcChain xmlns="http://schemas.openxmlformats.org/spreadsheetml/2006/main">
  <c r="A22" i="11" l="1"/>
  <c r="A20" i="11"/>
  <c r="E10" i="6"/>
  <c r="A27" i="11" l="1"/>
  <c r="C27" i="14"/>
  <c r="C23" i="14"/>
  <c r="Q32" i="14" l="1"/>
  <c r="Q31" i="14"/>
  <c r="Q30" i="14"/>
  <c r="E26" i="6" l="1"/>
  <c r="E25" i="6"/>
  <c r="E24" i="6"/>
  <c r="E27" i="6" l="1"/>
  <c r="C17" i="14"/>
  <c r="C26" i="14" l="1"/>
  <c r="C46" i="14"/>
  <c r="C44" i="14" s="1"/>
  <c r="G12" i="14"/>
  <c r="C36" i="14"/>
  <c r="C31" i="14"/>
  <c r="G31" i="14" s="1"/>
  <c r="L31" i="14" s="1"/>
  <c r="G27" i="14"/>
  <c r="G23" i="14"/>
  <c r="K18" i="14"/>
  <c r="I16" i="14"/>
  <c r="C24" i="14"/>
  <c r="L12" i="14"/>
  <c r="C18" i="14"/>
  <c r="D17" i="14"/>
  <c r="L27" i="14" l="1"/>
  <c r="G36" i="14"/>
  <c r="C39" i="14"/>
  <c r="L23" i="14"/>
  <c r="C40" i="14"/>
  <c r="C25" i="14"/>
  <c r="C35" i="14"/>
  <c r="K23" i="14"/>
  <c r="C37" i="14"/>
  <c r="C20" i="14"/>
  <c r="C28" i="14" s="1"/>
  <c r="K36" i="14"/>
  <c r="K31" i="14"/>
  <c r="K27" i="14"/>
  <c r="E16" i="14"/>
  <c r="F16" i="14" s="1"/>
  <c r="G16" i="14"/>
  <c r="D16" i="14"/>
  <c r="G24" i="14"/>
  <c r="K24" i="14"/>
  <c r="G35" i="14" l="1"/>
  <c r="C38" i="14"/>
  <c r="G40" i="14"/>
  <c r="L24" i="14"/>
  <c r="C47" i="14"/>
  <c r="K47" i="14" s="1"/>
  <c r="C36" i="6"/>
  <c r="L36" i="14"/>
  <c r="K40" i="14"/>
  <c r="G25" i="14"/>
  <c r="K25" i="14"/>
  <c r="K35" i="14"/>
  <c r="J16" i="14"/>
  <c r="H16" i="14"/>
  <c r="G39" i="11"/>
  <c r="D14" i="11"/>
  <c r="G47" i="14" l="1"/>
  <c r="L47" i="14" s="1"/>
  <c r="C40" i="6"/>
  <c r="L35" i="14"/>
  <c r="L25" i="14"/>
  <c r="L40" i="14"/>
  <c r="E29" i="6"/>
  <c r="I1" i="6"/>
  <c r="D10" i="11" s="1"/>
  <c r="J1" i="6"/>
  <c r="D40" i="6" l="1"/>
  <c r="E40" i="6" s="1"/>
  <c r="E28" i="6"/>
  <c r="E33" i="6"/>
  <c r="D12" i="11"/>
  <c r="C33" i="14"/>
  <c r="I18" i="14"/>
  <c r="G18" i="14"/>
  <c r="E18" i="14"/>
  <c r="D18" i="14"/>
  <c r="K33" i="14" l="1"/>
  <c r="F18" i="14"/>
  <c r="K37" i="14"/>
  <c r="G46" i="14"/>
  <c r="H18" i="14"/>
  <c r="E11" i="6"/>
  <c r="J18" i="14"/>
  <c r="G26" i="14"/>
  <c r="C32" i="14"/>
  <c r="G17" i="14"/>
  <c r="K26" i="14"/>
  <c r="C45" i="14"/>
  <c r="I17" i="14"/>
  <c r="K46" i="14"/>
  <c r="G33" i="14"/>
  <c r="E39" i="6" l="1"/>
  <c r="G44" i="14"/>
  <c r="K44" i="14"/>
  <c r="K28" i="14"/>
  <c r="E20" i="14"/>
  <c r="F20" i="14" s="1"/>
  <c r="G20" i="14"/>
  <c r="D20" i="14"/>
  <c r="G38" i="14"/>
  <c r="L46" i="14"/>
  <c r="G39" i="14"/>
  <c r="I20" i="14"/>
  <c r="G45" i="14"/>
  <c r="G32" i="14"/>
  <c r="L32" i="14" s="1"/>
  <c r="G37" i="14"/>
  <c r="L26" i="14"/>
  <c r="G10" i="6"/>
  <c r="J17" i="14"/>
  <c r="H17" i="14"/>
  <c r="L33" i="14"/>
  <c r="E20" i="6"/>
  <c r="G20" i="6" s="1"/>
  <c r="K39" i="14"/>
  <c r="K38" i="14"/>
  <c r="K45" i="14"/>
  <c r="K32" i="14"/>
  <c r="C34" i="14"/>
  <c r="E17" i="14"/>
  <c r="A46" i="11"/>
  <c r="A45" i="11"/>
  <c r="A44" i="11"/>
  <c r="A43" i="11"/>
  <c r="J28" i="11"/>
  <c r="A25" i="11"/>
  <c r="C25" i="11" s="1"/>
  <c r="C22" i="11"/>
  <c r="C20" i="11"/>
  <c r="I2" i="6"/>
  <c r="G39" i="6" l="1"/>
  <c r="G29" i="6"/>
  <c r="G40" i="6"/>
  <c r="G26" i="6"/>
  <c r="G25" i="6"/>
  <c r="G24" i="6"/>
  <c r="G27" i="6"/>
  <c r="G33" i="6"/>
  <c r="G28" i="6"/>
  <c r="G11" i="6"/>
  <c r="L45" i="14"/>
  <c r="E30" i="6"/>
  <c r="G30" i="6" s="1"/>
  <c r="L44" i="14"/>
  <c r="E32" i="6"/>
  <c r="G32" i="6" s="1"/>
  <c r="L38" i="14"/>
  <c r="H20" i="14"/>
  <c r="H10" i="6"/>
  <c r="J10" i="6"/>
  <c r="I10" i="6"/>
  <c r="K43" i="14"/>
  <c r="G43" i="14"/>
  <c r="G28" i="14"/>
  <c r="E12" i="6"/>
  <c r="G12" i="6" s="1"/>
  <c r="J20" i="14"/>
  <c r="A33" i="11"/>
  <c r="E19" i="6"/>
  <c r="G19" i="6" s="1"/>
  <c r="L39" i="14"/>
  <c r="E17" i="6"/>
  <c r="G17" i="6" s="1"/>
  <c r="K34" i="14"/>
  <c r="L37" i="14"/>
  <c r="E16" i="6"/>
  <c r="G16" i="6" s="1"/>
  <c r="E18" i="6"/>
  <c r="G18" i="6" s="1"/>
  <c r="F17" i="14"/>
  <c r="L28" i="11"/>
  <c r="G34" i="14"/>
  <c r="J11" i="6" l="1"/>
  <c r="H11" i="6"/>
  <c r="I11" i="6"/>
  <c r="E38" i="6"/>
  <c r="G38" i="6" s="1"/>
  <c r="E37" i="6"/>
  <c r="G37" i="6" s="1"/>
  <c r="E31" i="6"/>
  <c r="G31" i="6" s="1"/>
  <c r="L28" i="14"/>
  <c r="L43" i="14"/>
  <c r="D36" i="6"/>
  <c r="J12" i="6"/>
  <c r="H12" i="6"/>
  <c r="I12" i="6"/>
  <c r="E13" i="6"/>
  <c r="G13" i="6" s="1"/>
  <c r="L34" i="14"/>
  <c r="E21" i="6"/>
  <c r="H13" i="6" l="1"/>
  <c r="J13" i="6"/>
  <c r="I13" i="6"/>
  <c r="G21" i="6"/>
  <c r="G27" i="11"/>
  <c r="C33" i="11" s="1"/>
  <c r="E33" i="11" s="1"/>
  <c r="E36" i="6"/>
  <c r="G36" i="6" s="1"/>
  <c r="G28" i="11" l="1"/>
</calcChain>
</file>

<file path=xl/comments1.xml><?xml version="1.0" encoding="utf-8"?>
<comments xmlns="http://schemas.openxmlformats.org/spreadsheetml/2006/main">
  <authors>
    <author>ALEF - Sandrine Woehl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ALEF - Sandrine Woehl:</t>
        </r>
        <r>
          <rPr>
            <sz val="9"/>
            <color indexed="81"/>
            <rFont val="Tahoma"/>
            <family val="2"/>
          </rPr>
          <t xml:space="preserve">
A SAISIR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ALEF - Sandrine Woehl:</t>
        </r>
        <r>
          <rPr>
            <sz val="9"/>
            <color indexed="81"/>
            <rFont val="Tahoma"/>
            <family val="2"/>
          </rPr>
          <t xml:space="preserve">
A SAISIR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ALEF - Sandrine Woehl:</t>
        </r>
        <r>
          <rPr>
            <sz val="9"/>
            <color indexed="81"/>
            <rFont val="Tahoma"/>
            <family val="2"/>
          </rPr>
          <t xml:space="preserve">
A SAISIR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ALEF - Sandrine Woehl:</t>
        </r>
        <r>
          <rPr>
            <sz val="9"/>
            <color indexed="81"/>
            <rFont val="Tahoma"/>
            <family val="2"/>
          </rPr>
          <t xml:space="preserve">
A SAISIR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ALEF - Sandrine Woehl:</t>
        </r>
        <r>
          <rPr>
            <sz val="9"/>
            <color indexed="81"/>
            <rFont val="Tahoma"/>
            <family val="2"/>
          </rPr>
          <t xml:space="preserve">
A SAISIR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</rPr>
          <t>ALEF - Sandrine Woehl:</t>
        </r>
        <r>
          <rPr>
            <sz val="9"/>
            <color indexed="81"/>
            <rFont val="Tahoma"/>
            <family val="2"/>
          </rPr>
          <t xml:space="preserve">
A SAISIR</t>
        </r>
      </text>
    </comment>
  </commentList>
</comments>
</file>

<file path=xl/sharedStrings.xml><?xml version="1.0" encoding="utf-8"?>
<sst xmlns="http://schemas.openxmlformats.org/spreadsheetml/2006/main" count="210" uniqueCount="134">
  <si>
    <t>Midi + Soir</t>
  </si>
  <si>
    <t>Accueil ponctuel</t>
  </si>
  <si>
    <t>Mercredi avec repas</t>
  </si>
  <si>
    <t>Midi seul (à l'unité)</t>
  </si>
  <si>
    <t>Soir seul (à l'unité)</t>
  </si>
  <si>
    <t>Midi + soir (à l'unité)</t>
  </si>
  <si>
    <t>4 j/sem</t>
  </si>
  <si>
    <t>3 j/sem</t>
  </si>
  <si>
    <t>2 j/sem</t>
  </si>
  <si>
    <t>1 j/sem</t>
  </si>
  <si>
    <t>Mercredis</t>
  </si>
  <si>
    <t>Calcul du tarif en fonction du revenu imposable</t>
  </si>
  <si>
    <t>TARIFICATION</t>
  </si>
  <si>
    <t>4 J</t>
  </si>
  <si>
    <t>3 J</t>
  </si>
  <si>
    <t xml:space="preserve">2J </t>
  </si>
  <si>
    <t>1J</t>
  </si>
  <si>
    <t xml:space="preserve">Réduction </t>
  </si>
  <si>
    <t>2 enfants présents simultanément</t>
  </si>
  <si>
    <t xml:space="preserve"> - 5%</t>
  </si>
  <si>
    <t xml:space="preserve"> - 10%</t>
  </si>
  <si>
    <t xml:space="preserve">Augmentation </t>
  </si>
  <si>
    <t>Habitants hors commune</t>
  </si>
  <si>
    <t xml:space="preserve"> + 20%</t>
  </si>
  <si>
    <t>Date :</t>
  </si>
  <si>
    <t>Vacances scolaires</t>
  </si>
  <si>
    <t>Semaine de 4 jours si jour férié</t>
  </si>
  <si>
    <t>Semaine de 5 jours</t>
  </si>
  <si>
    <t>Laurent BECK</t>
  </si>
  <si>
    <t>Directeur Général</t>
  </si>
  <si>
    <t>TARIFS DEGRESSIFS</t>
  </si>
  <si>
    <t xml:space="preserve">Une réduction s'applique pour les fratries: </t>
  </si>
  <si>
    <t>- 5 % à partir du 2ème enfant</t>
  </si>
  <si>
    <t>- 10% à partir du 3ème enfant</t>
  </si>
  <si>
    <t>-15% à partir du 4ème enfant</t>
  </si>
  <si>
    <t>Mini</t>
  </si>
  <si>
    <t>Maxi</t>
  </si>
  <si>
    <t>Selon formule</t>
  </si>
  <si>
    <t>3 enfants présents simultanément</t>
  </si>
  <si>
    <t>4 enfants et + présents simultanément</t>
  </si>
  <si>
    <t>INDIQUER LE QUOTIENT FAMILIAL</t>
  </si>
  <si>
    <t>Visa de la collectivité</t>
  </si>
  <si>
    <t>Accueils de loisirs périscolaires</t>
  </si>
  <si>
    <t xml:space="preserve">Les tarifs permettent à chaque foyer de payer selon ses revenus rééls. A titre d'information: </t>
  </si>
  <si>
    <t xml:space="preserve">Le tarif minimum est appliqué pour les foyers avec un quotient familial de : </t>
  </si>
  <si>
    <t xml:space="preserve">Le tarif maximum est appliqué pour les foyers avec un quotient familial de : </t>
  </si>
  <si>
    <t>L'écart entre le tarif minimum et le tarif maximum est de :</t>
  </si>
  <si>
    <r>
      <t>Pour tenir compte de vos revenus rééls, le tarif appliqué est calculé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au prorata de votre quotient familial</t>
    </r>
    <r>
      <rPr>
        <b/>
        <sz val="10"/>
        <rFont val="Arial"/>
        <family val="2"/>
      </rPr>
      <t xml:space="preserve">. </t>
    </r>
  </si>
  <si>
    <t>Le tarif minimum est de :</t>
  </si>
  <si>
    <t xml:space="preserve">(QF de </t>
  </si>
  <si>
    <t>)</t>
  </si>
  <si>
    <t>Le tarif maximum est de :</t>
  </si>
  <si>
    <t>Donc pour un quotient familial plus élevé de :</t>
  </si>
  <si>
    <t xml:space="preserve">Pour un quotient familial plus élevé de: </t>
  </si>
  <si>
    <t>L'écart par rapport au tarif de base est de :</t>
  </si>
  <si>
    <t>L'écart par rapport au tarif de base sera de :</t>
  </si>
  <si>
    <t xml:space="preserve">, calculé ainsi: </t>
  </si>
  <si>
    <t>x</t>
  </si>
  <si>
    <t>/</t>
  </si>
  <si>
    <t>Le tarif appliqué sera donc le suivant :</t>
  </si>
  <si>
    <t>Tarif de base + ajustement au prorata du quotient familial</t>
  </si>
  <si>
    <t>+</t>
  </si>
  <si>
    <t>=</t>
  </si>
  <si>
    <t xml:space="preserve">A noter: </t>
  </si>
  <si>
    <t>Non allocataire CAF ou MSA</t>
  </si>
  <si>
    <t>Tarif plafond</t>
  </si>
  <si>
    <t xml:space="preserve">Hors Communauté de Commune: </t>
  </si>
  <si>
    <t>A noter également :</t>
  </si>
  <si>
    <t xml:space="preserve">Il peut y avoir une différence minime avec le tarif facturé par notre logiciel, du fait de l'arrondi. 
C'est le tarif arrondi par le logiciel qui est pris en compte. </t>
  </si>
  <si>
    <t>Notre équipe reste à votre disposition pour tout complément d'information !</t>
  </si>
  <si>
    <t>Augmentation générale</t>
  </si>
  <si>
    <t>Midi + Soir + Mercredi</t>
  </si>
  <si>
    <t>Majoration 2 jours</t>
  </si>
  <si>
    <t>Majoration 1 jour</t>
  </si>
  <si>
    <t>Surcoût ponctuels Mercredi</t>
  </si>
  <si>
    <t>QF Plancher</t>
  </si>
  <si>
    <t>QF Plafond</t>
  </si>
  <si>
    <t>Surcoût ponctuels Jours Scolaires</t>
  </si>
  <si>
    <t>Ecart tarif minimum / maximum</t>
  </si>
  <si>
    <t>Horscollectivité</t>
  </si>
  <si>
    <t>Majoration de</t>
  </si>
  <si>
    <t>Sur la formule</t>
  </si>
  <si>
    <t>PARAMETRES</t>
  </si>
  <si>
    <t>Tarifs modulés</t>
  </si>
  <si>
    <t xml:space="preserve">Les tarifs affichés sont des tarifs subventionnés par la Communauté de Commune et par la CAF. </t>
  </si>
  <si>
    <t>*Justificatif exigé</t>
  </si>
  <si>
    <t xml:space="preserve">Forfait mensuel, jours scolaire (contrat sur l'année). </t>
  </si>
  <si>
    <t>Forfait mensuel, mercredis (contrat sur l'année)</t>
  </si>
  <si>
    <t>Ecart</t>
  </si>
  <si>
    <t>&lt; Rappel QF plancher et plafond</t>
  </si>
  <si>
    <t>Pas d'arrondi</t>
  </si>
  <si>
    <t>Arrondi 1 pour le global, 2 pour l'ajustement</t>
  </si>
  <si>
    <t>Hors collectivité: arrondi 1</t>
  </si>
  <si>
    <t xml:space="preserve">Quotient Familial Plafond : </t>
  </si>
  <si>
    <t xml:space="preserve">Quotient Familial Plancher : </t>
  </si>
  <si>
    <t xml:space="preserve">Les tarifs minimum et maximum sont appliqués pour les quotients familiaux plancher et plafond suivants: </t>
  </si>
  <si>
    <r>
      <t xml:space="preserve">Par exemple: formule "MIDI et SOIR - 4 jours" pour un foyer avec un enfant et un quotient familial de </t>
    </r>
    <r>
      <rPr>
        <b/>
        <u/>
        <sz val="10"/>
        <color rgb="FF0070C0"/>
        <rFont val="Arial"/>
        <family val="2"/>
      </rPr>
      <t xml:space="preserve">1200. </t>
    </r>
  </si>
  <si>
    <r>
      <t xml:space="preserve">Le tarif général est subventionné par la Commune pour ses habitants et par la CAF pour ses allocataires et ceux de la MSA (numéro d'allocataire faisant foi). 
</t>
    </r>
    <r>
      <rPr>
        <b/>
        <sz val="10"/>
        <rFont val="Arial"/>
        <family val="2"/>
      </rPr>
      <t xml:space="preserve">Si vous n'êtes pas de la Communauté de Commune et/ou allocataire de la CAF, le tarif n'est malheureusement pas subventionné. </t>
    </r>
    <r>
      <rPr>
        <b/>
        <u/>
        <sz val="10"/>
        <rFont val="Arial"/>
        <family val="2"/>
      </rPr>
      <t>Nous appliquons donc une majoration de :</t>
    </r>
  </si>
  <si>
    <t>A partir de 2 enfants</t>
  </si>
  <si>
    <t>A partir de 3 enfants</t>
  </si>
  <si>
    <t>A partir de 4 enfants</t>
  </si>
  <si>
    <t>Accueils de loisirs périscolaires 
et extrascolaires</t>
  </si>
  <si>
    <t>Communauté de Communes du PAYS DE LA ZORN</t>
  </si>
  <si>
    <t>Midi</t>
  </si>
  <si>
    <t>Soir</t>
  </si>
  <si>
    <t>1/2 journée mercredi sans repas</t>
  </si>
  <si>
    <t>Vacances 5 jours</t>
  </si>
  <si>
    <t>Du 1er septembre 2021 au 31 août 2022</t>
  </si>
  <si>
    <t>Soir extension (18h30-19h00)</t>
  </si>
  <si>
    <t>Soir (jusqu'à 18h30)</t>
  </si>
  <si>
    <t>Journée</t>
  </si>
  <si>
    <t>Soir extension (18h-18h30)</t>
  </si>
  <si>
    <t>Matin extension (7h30-8h00)</t>
  </si>
  <si>
    <t>HABITANT LA COMMUNAUTE DE COMMUNES</t>
  </si>
  <si>
    <t>HORS COMCOM</t>
  </si>
  <si>
    <t>TARIF ACTUEL</t>
  </si>
  <si>
    <t>Soir extension (18h00-18h30)</t>
  </si>
  <si>
    <t>Midi + Soir + Mercredis hors extension</t>
  </si>
  <si>
    <t>Jours scolaires</t>
  </si>
  <si>
    <t>Matin extension (1 heure)</t>
  </si>
  <si>
    <t>mercredi</t>
  </si>
  <si>
    <t>Mercredi</t>
  </si>
  <si>
    <r>
      <t>1/2 journée mercredi avec repas</t>
    </r>
    <r>
      <rPr>
        <b/>
        <sz val="10"/>
        <rFont val="DIN OT"/>
        <family val="2"/>
      </rPr>
      <t xml:space="preserve"> (8h00-14h00 ou 12h00-18h00)</t>
    </r>
  </si>
  <si>
    <r>
      <t xml:space="preserve">1/2 journée mercredi sans repas </t>
    </r>
    <r>
      <rPr>
        <b/>
        <sz val="10"/>
        <rFont val="DIN OT"/>
        <family val="2"/>
      </rPr>
      <t>(8h00-12h00 ou 14h00-18h00)</t>
    </r>
  </si>
  <si>
    <r>
      <t>Si vous n'habitez pas la Communauté de Commune, vous ne pouvez pas bénéficier du tarif subventionné.</t>
    </r>
    <r>
      <rPr>
        <sz val="12"/>
        <color rgb="FF0070C0"/>
        <rFont val="DIN"/>
      </rPr>
      <t xml:space="preserve"> 
&gt; Les tarifs affichés sont majorés de 20%. </t>
    </r>
    <r>
      <rPr>
        <sz val="12"/>
        <rFont val="DIN"/>
      </rPr>
      <t xml:space="preserve">
Si vous n'êtes pas allocataire de la CAF ou de la MSA, vous ne pouvez pas bénéficier de ces tarifs subventionnés. 
&gt; </t>
    </r>
    <r>
      <rPr>
        <sz val="12"/>
        <color rgb="FF0070C0"/>
        <rFont val="DIN"/>
      </rPr>
      <t xml:space="preserve">Le tarif qui s'applique est le tarif maximum. </t>
    </r>
  </si>
  <si>
    <t>PAYS DE LA ZORN</t>
  </si>
  <si>
    <t>Année 2021/2022</t>
  </si>
  <si>
    <t>1 heure extension</t>
  </si>
  <si>
    <t>30 mn extension</t>
  </si>
  <si>
    <t>forfait mensuel 30mn mercredis</t>
  </si>
  <si>
    <t>Soir extension (18h00-18h30)*</t>
  </si>
  <si>
    <t>Matin extension (7h30-8h00)*</t>
  </si>
  <si>
    <t>* Sur Hochfelden</t>
  </si>
  <si>
    <t>Midi + Soir (même nombre de jours midi et soir)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</si>
</sst>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_F"/>
    <numFmt numFmtId="165" formatCode="0.000"/>
    <numFmt numFmtId="166" formatCode="#,##0.00\ &quot;€&quot;"/>
    <numFmt numFmtId="167" formatCode="_-* #,##0\ &quot;€&quot;_-;\-* #,##0\ &quot;€&quot;_-;_-* &quot;-&quot;??\ &quot;€&quot;_-;_-@_-"/>
    <numFmt numFmtId="168" formatCode="#,##0_ ;\-#,##0\ "/>
    <numFmt numFmtId="169" formatCode="0.0%"/>
  </numFmts>
  <fonts count="4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8"/>
      <name val="Algerian"/>
      <family val="5"/>
    </font>
    <font>
      <b/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name val="DIN OT"/>
      <family val="2"/>
    </font>
    <font>
      <b/>
      <sz val="10"/>
      <name val="DIN OT"/>
      <family val="2"/>
    </font>
    <font>
      <sz val="12"/>
      <name val="DIN OT"/>
      <family val="2"/>
    </font>
    <font>
      <b/>
      <u/>
      <sz val="12"/>
      <name val="DIN OT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22"/>
      <name val="Cocon Offc"/>
      <family val="2"/>
    </font>
    <font>
      <b/>
      <sz val="14"/>
      <name val="DIN"/>
    </font>
    <font>
      <sz val="16"/>
      <name val="DIN"/>
    </font>
    <font>
      <sz val="12"/>
      <name val="Cocon Offc"/>
      <family val="2"/>
    </font>
    <font>
      <sz val="30"/>
      <name val="Cocon Offc"/>
      <family val="2"/>
    </font>
    <font>
      <b/>
      <sz val="16"/>
      <name val="DIN"/>
    </font>
    <font>
      <sz val="12"/>
      <name val="DIN"/>
    </font>
    <font>
      <sz val="11"/>
      <color theme="1"/>
      <name val="Century Gothic"/>
      <family val="2"/>
    </font>
    <font>
      <b/>
      <sz val="10"/>
      <color theme="0" tint="-0.499984740745262"/>
      <name val="Arial"/>
      <family val="2"/>
    </font>
    <font>
      <b/>
      <sz val="10"/>
      <color theme="0" tint="-0.499984740745262"/>
      <name val="Algerian"/>
      <family val="5"/>
    </font>
    <font>
      <b/>
      <sz val="10"/>
      <color theme="0" tint="-0.499984740745262"/>
      <name val="Century Gothic"/>
      <family val="2"/>
    </font>
    <font>
      <b/>
      <sz val="12"/>
      <color rgb="FF0070C0"/>
      <name val="Arial"/>
      <family val="2"/>
    </font>
    <font>
      <b/>
      <sz val="10"/>
      <color rgb="FFFF0000"/>
      <name val="Century Gothic"/>
      <family val="2"/>
    </font>
    <font>
      <b/>
      <sz val="10"/>
      <color rgb="FF0070C0"/>
      <name val="Arial"/>
      <family val="2"/>
    </font>
    <font>
      <b/>
      <u/>
      <sz val="10"/>
      <color rgb="FF0070C0"/>
      <name val="Arial"/>
      <family val="2"/>
    </font>
    <font>
      <sz val="10"/>
      <color theme="0" tint="-0.14999847407452621"/>
      <name val="Arial"/>
      <family val="2"/>
    </font>
    <font>
      <sz val="13"/>
      <name val="DIN OT"/>
      <family val="2"/>
    </font>
    <font>
      <sz val="13"/>
      <color theme="1"/>
      <name val="DIN OT"/>
      <family val="2"/>
    </font>
    <font>
      <sz val="12"/>
      <color rgb="FF0070C0"/>
      <name val="DIN"/>
    </font>
    <font>
      <sz val="12"/>
      <name val="Arial"/>
      <family val="2"/>
    </font>
    <font>
      <b/>
      <sz val="12"/>
      <color theme="0"/>
      <name val="DIN O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70C0"/>
      <name val="DIN OT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Font="0" applyFill="0" applyBorder="0" applyAlignment="0" applyProtection="0"/>
    <xf numFmtId="0" fontId="2" fillId="0" borderId="0"/>
    <xf numFmtId="9" fontId="20" fillId="0" borderId="0" applyFont="0" applyFill="0" applyBorder="0" applyAlignment="0" applyProtection="0"/>
  </cellStyleXfs>
  <cellXfs count="264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Protection="1"/>
    <xf numFmtId="44" fontId="0" fillId="0" borderId="0" xfId="0" applyNumberFormat="1" applyProtection="1"/>
    <xf numFmtId="0" fontId="10" fillId="0" borderId="0" xfId="0" applyFont="1" applyAlignment="1" applyProtection="1"/>
    <xf numFmtId="0" fontId="5" fillId="0" borderId="0" xfId="0" applyFont="1" applyProtection="1"/>
    <xf numFmtId="0" fontId="9" fillId="0" borderId="0" xfId="0" applyFont="1" applyAlignment="1" applyProtection="1"/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9" fontId="0" fillId="0" borderId="0" xfId="0" quotePrefix="1" applyNumberFormat="1" applyProtection="1"/>
    <xf numFmtId="0" fontId="2" fillId="0" borderId="0" xfId="0" applyFont="1" applyProtection="1"/>
    <xf numFmtId="9" fontId="0" fillId="0" borderId="0" xfId="0" applyNumberFormat="1" applyProtection="1"/>
    <xf numFmtId="0" fontId="19" fillId="0" borderId="0" xfId="0" applyFont="1" applyAlignment="1" applyProtection="1">
      <alignment horizontal="center"/>
    </xf>
    <xf numFmtId="0" fontId="18" fillId="2" borderId="0" xfId="0" applyFont="1" applyFill="1" applyAlignment="1" applyProtection="1">
      <alignment horizontal="center"/>
      <protection locked="0"/>
    </xf>
    <xf numFmtId="167" fontId="0" fillId="0" borderId="0" xfId="0" applyNumberFormat="1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vertical="top"/>
    </xf>
    <xf numFmtId="0" fontId="2" fillId="3" borderId="0" xfId="0" applyFont="1" applyFill="1"/>
    <xf numFmtId="0" fontId="2" fillId="0" borderId="0" xfId="0" applyFont="1"/>
    <xf numFmtId="44" fontId="1" fillId="0" borderId="5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4" fontId="0" fillId="0" borderId="0" xfId="0" applyNumberFormat="1" applyAlignment="1">
      <alignment vertical="center"/>
    </xf>
    <xf numFmtId="44" fontId="0" fillId="0" borderId="0" xfId="0" applyNumberFormat="1"/>
    <xf numFmtId="167" fontId="0" fillId="0" borderId="0" xfId="0" applyNumberFormat="1"/>
    <xf numFmtId="0" fontId="0" fillId="3" borderId="0" xfId="0" applyFill="1"/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44" fontId="1" fillId="3" borderId="5" xfId="0" applyNumberFormat="1" applyFont="1" applyFill="1" applyBorder="1" applyAlignment="1">
      <alignment vertical="center"/>
    </xf>
    <xf numFmtId="44" fontId="1" fillId="3" borderId="0" xfId="0" applyNumberFormat="1" applyFont="1" applyFill="1"/>
    <xf numFmtId="0" fontId="1" fillId="3" borderId="0" xfId="0" applyFont="1" applyFill="1"/>
    <xf numFmtId="3" fontId="1" fillId="3" borderId="0" xfId="0" applyNumberFormat="1" applyFont="1" applyFill="1"/>
    <xf numFmtId="3" fontId="1" fillId="3" borderId="0" xfId="0" quotePrefix="1" applyNumberFormat="1" applyFont="1" applyFill="1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left"/>
    </xf>
    <xf numFmtId="44" fontId="0" fillId="0" borderId="5" xfId="0" applyNumberForma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44" fontId="1" fillId="4" borderId="5" xfId="0" applyNumberFormat="1" applyFont="1" applyFill="1" applyBorder="1" applyAlignment="1">
      <alignment horizontal="left" vertical="center"/>
    </xf>
    <xf numFmtId="0" fontId="0" fillId="0" borderId="27" xfId="0" applyBorder="1"/>
    <xf numFmtId="0" fontId="2" fillId="0" borderId="28" xfId="0" applyFont="1" applyBorder="1"/>
    <xf numFmtId="9" fontId="0" fillId="0" borderId="0" xfId="0" applyNumberFormat="1" applyBorder="1"/>
    <xf numFmtId="0" fontId="2" fillId="0" borderId="29" xfId="0" applyFont="1" applyBorder="1" applyAlignment="1">
      <alignment vertical="top"/>
    </xf>
    <xf numFmtId="0" fontId="0" fillId="0" borderId="17" xfId="0" applyBorder="1" applyAlignment="1">
      <alignment vertical="top"/>
    </xf>
    <xf numFmtId="9" fontId="0" fillId="0" borderId="17" xfId="0" applyNumberFormat="1" applyBorder="1" applyAlignment="1">
      <alignment vertical="top"/>
    </xf>
    <xf numFmtId="0" fontId="0" fillId="0" borderId="16" xfId="0" applyBorder="1" applyAlignment="1">
      <alignment vertical="top"/>
    </xf>
    <xf numFmtId="0" fontId="1" fillId="0" borderId="25" xfId="0" applyFont="1" applyBorder="1" applyAlignment="1">
      <alignment vertical="center"/>
    </xf>
    <xf numFmtId="0" fontId="0" fillId="0" borderId="26" xfId="0" applyBorder="1"/>
    <xf numFmtId="0" fontId="0" fillId="0" borderId="20" xfId="0" applyBorder="1"/>
    <xf numFmtId="9" fontId="0" fillId="0" borderId="28" xfId="0" applyNumberFormat="1" applyBorder="1"/>
    <xf numFmtId="9" fontId="0" fillId="0" borderId="29" xfId="0" applyNumberFormat="1" applyBorder="1" applyAlignment="1">
      <alignment vertical="top"/>
    </xf>
    <xf numFmtId="0" fontId="0" fillId="0" borderId="0" xfId="0" applyNumberFormat="1" applyAlignment="1">
      <alignment vertical="center"/>
    </xf>
    <xf numFmtId="9" fontId="31" fillId="2" borderId="0" xfId="0" applyNumberFormat="1" applyFont="1" applyFill="1" applyBorder="1" applyAlignment="1" applyProtection="1">
      <alignment horizontal="center" vertical="center"/>
      <protection locked="0"/>
    </xf>
    <xf numFmtId="1" fontId="31" fillId="2" borderId="0" xfId="0" applyNumberFormat="1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/>
    </xf>
    <xf numFmtId="44" fontId="0" fillId="0" borderId="0" xfId="0" applyNumberFormat="1" applyAlignment="1" applyProtection="1">
      <alignment horizontal="center"/>
    </xf>
    <xf numFmtId="44" fontId="0" fillId="0" borderId="7" xfId="0" applyNumberFormat="1" applyBorder="1" applyAlignment="1" applyProtection="1">
      <alignment horizontal="right"/>
    </xf>
    <xf numFmtId="44" fontId="0" fillId="0" borderId="8" xfId="0" applyNumberFormat="1" applyBorder="1" applyAlignment="1" applyProtection="1">
      <alignment horizontal="right"/>
    </xf>
    <xf numFmtId="44" fontId="0" fillId="0" borderId="9" xfId="0" applyNumberForma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8" fillId="3" borderId="0" xfId="0" applyNumberFormat="1" applyFont="1" applyFill="1" applyBorder="1" applyAlignment="1" applyProtection="1">
      <alignment horizontal="center"/>
    </xf>
    <xf numFmtId="0" fontId="0" fillId="3" borderId="0" xfId="0" applyNumberFormat="1" applyFill="1" applyAlignment="1" applyProtection="1">
      <alignment horizontal="center"/>
    </xf>
    <xf numFmtId="44" fontId="0" fillId="0" borderId="13" xfId="0" applyNumberFormat="1" applyBorder="1" applyAlignment="1" applyProtection="1">
      <alignment horizontal="right"/>
    </xf>
    <xf numFmtId="0" fontId="2" fillId="0" borderId="0" xfId="0" applyFont="1" applyAlignment="1" applyProtection="1"/>
    <xf numFmtId="44" fontId="0" fillId="0" borderId="13" xfId="0" applyNumberFormat="1" applyFill="1" applyBorder="1" applyAlignment="1" applyProtection="1">
      <alignment horizontal="right"/>
    </xf>
    <xf numFmtId="0" fontId="12" fillId="0" borderId="0" xfId="0" applyFont="1" applyProtection="1"/>
    <xf numFmtId="9" fontId="29" fillId="2" borderId="0" xfId="0" applyNumberFormat="1" applyFont="1" applyFill="1" applyAlignment="1" applyProtection="1">
      <alignment horizontal="center" vertical="center"/>
      <protection locked="0"/>
    </xf>
    <xf numFmtId="0" fontId="34" fillId="3" borderId="0" xfId="0" applyFont="1" applyFill="1"/>
    <xf numFmtId="1" fontId="33" fillId="5" borderId="0" xfId="0" applyNumberFormat="1" applyFont="1" applyFill="1" applyBorder="1" applyAlignment="1" applyProtection="1">
      <alignment horizontal="center" vertical="center"/>
      <protection locked="0"/>
    </xf>
    <xf numFmtId="10" fontId="33" fillId="5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 wrapText="1"/>
    </xf>
    <xf numFmtId="0" fontId="36" fillId="0" borderId="0" xfId="0" applyFont="1" applyProtection="1"/>
    <xf numFmtId="10" fontId="6" fillId="0" borderId="0" xfId="0" applyNumberFormat="1" applyFont="1" applyProtection="1"/>
    <xf numFmtId="0" fontId="30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7" fillId="0" borderId="0" xfId="0" applyFont="1" applyProtection="1"/>
    <xf numFmtId="10" fontId="7" fillId="0" borderId="0" xfId="0" applyNumberFormat="1" applyFont="1" applyProtection="1"/>
    <xf numFmtId="0" fontId="29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10" fontId="5" fillId="0" borderId="0" xfId="0" applyNumberFormat="1" applyFont="1" applyProtection="1"/>
    <xf numFmtId="0" fontId="5" fillId="0" borderId="0" xfId="0" applyFont="1" applyAlignment="1" applyProtection="1">
      <alignment horizontal="left" vertical="center"/>
    </xf>
    <xf numFmtId="165" fontId="0" fillId="0" borderId="0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0" fontId="0" fillId="0" borderId="0" xfId="0" applyNumberFormat="1" applyFill="1" applyBorder="1" applyAlignment="1" applyProtection="1">
      <alignment vertical="center"/>
    </xf>
    <xf numFmtId="10" fontId="29" fillId="0" borderId="0" xfId="0" applyNumberFormat="1" applyFont="1" applyFill="1" applyBorder="1" applyAlignment="1" applyProtection="1">
      <alignment horizontal="left" vertical="center"/>
    </xf>
    <xf numFmtId="10" fontId="0" fillId="0" borderId="0" xfId="0" applyNumberForma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10" fontId="29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vertical="center" wrapText="1"/>
    </xf>
    <xf numFmtId="165" fontId="5" fillId="0" borderId="0" xfId="0" applyNumberFormat="1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horizontal="left" vertical="center"/>
    </xf>
    <xf numFmtId="10" fontId="0" fillId="0" borderId="0" xfId="0" applyNumberFormat="1" applyProtection="1"/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164" fontId="0" fillId="0" borderId="0" xfId="0" applyNumberFormat="1" applyFill="1" applyBorder="1" applyAlignment="1" applyProtection="1">
      <alignment horizontal="center" vertical="center"/>
    </xf>
    <xf numFmtId="164" fontId="29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Protection="1"/>
    <xf numFmtId="164" fontId="11" fillId="0" borderId="0" xfId="0" applyNumberFormat="1" applyFont="1" applyFill="1" applyBorder="1" applyAlignment="1" applyProtection="1">
      <alignment horizontal="right" vertical="center"/>
    </xf>
    <xf numFmtId="164" fontId="0" fillId="0" borderId="0" xfId="0" applyNumberForma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left" vertical="center"/>
    </xf>
    <xf numFmtId="164" fontId="15" fillId="0" borderId="0" xfId="0" applyNumberFormat="1" applyFont="1" applyBorder="1" applyAlignment="1" applyProtection="1">
      <alignment horizontal="center" vertical="center"/>
    </xf>
    <xf numFmtId="0" fontId="2" fillId="0" borderId="0" xfId="0" quotePrefix="1" applyFont="1" applyAlignment="1" applyProtection="1">
      <alignment horizontal="right"/>
    </xf>
    <xf numFmtId="0" fontId="17" fillId="0" borderId="0" xfId="0" applyFont="1" applyProtection="1"/>
    <xf numFmtId="0" fontId="15" fillId="0" borderId="0" xfId="0" applyFont="1" applyProtection="1"/>
    <xf numFmtId="0" fontId="1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 vertical="center"/>
    </xf>
    <xf numFmtId="0" fontId="15" fillId="0" borderId="0" xfId="0" quotePrefix="1" applyFont="1" applyProtection="1"/>
    <xf numFmtId="16" fontId="13" fillId="0" borderId="0" xfId="0" applyNumberFormat="1" applyFont="1" applyFill="1" applyBorder="1" applyAlignment="1" applyProtection="1">
      <alignment horizontal="left" vertical="center"/>
    </xf>
    <xf numFmtId="164" fontId="15" fillId="0" borderId="0" xfId="0" applyNumberFormat="1" applyFont="1" applyFill="1" applyProtection="1"/>
    <xf numFmtId="164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/>
    </xf>
    <xf numFmtId="10" fontId="15" fillId="0" borderId="0" xfId="0" applyNumberFormat="1" applyFont="1" applyProtection="1"/>
    <xf numFmtId="0" fontId="16" fillId="0" borderId="0" xfId="0" applyFont="1" applyBorder="1" applyAlignment="1" applyProtection="1">
      <alignment horizontal="left"/>
    </xf>
    <xf numFmtId="164" fontId="0" fillId="0" borderId="0" xfId="0" applyNumberFormat="1" applyFill="1" applyProtection="1"/>
    <xf numFmtId="0" fontId="13" fillId="0" borderId="0" xfId="0" applyFont="1" applyProtection="1"/>
    <xf numFmtId="164" fontId="15" fillId="0" borderId="0" xfId="0" applyNumberFormat="1" applyFont="1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9" fontId="12" fillId="0" borderId="0" xfId="0" applyNumberFormat="1" applyFont="1" applyAlignment="1" applyProtection="1">
      <alignment horizontal="left"/>
    </xf>
    <xf numFmtId="166" fontId="37" fillId="0" borderId="3" xfId="0" applyNumberFormat="1" applyFont="1" applyFill="1" applyBorder="1" applyAlignment="1" applyProtection="1">
      <alignment horizontal="right" vertical="center"/>
    </xf>
    <xf numFmtId="166" fontId="37" fillId="0" borderId="21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/>
    </xf>
    <xf numFmtId="166" fontId="37" fillId="0" borderId="19" xfId="0" applyNumberFormat="1" applyFont="1" applyFill="1" applyBorder="1" applyAlignment="1" applyProtection="1">
      <alignment horizontal="center" vertical="center"/>
    </xf>
    <xf numFmtId="166" fontId="37" fillId="0" borderId="21" xfId="0" applyNumberFormat="1" applyFont="1" applyFill="1" applyBorder="1" applyAlignment="1" applyProtection="1">
      <alignment horizontal="center" vertical="center"/>
    </xf>
    <xf numFmtId="166" fontId="37" fillId="0" borderId="2" xfId="0" applyNumberFormat="1" applyFont="1" applyFill="1" applyBorder="1" applyAlignment="1" applyProtection="1">
      <alignment horizontal="center" vertical="center"/>
    </xf>
    <xf numFmtId="166" fontId="37" fillId="0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0" fontId="5" fillId="0" borderId="0" xfId="0" applyNumberFormat="1" applyFont="1" applyAlignment="1" applyProtection="1">
      <alignment horizontal="left"/>
    </xf>
    <xf numFmtId="0" fontId="29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166" fontId="2" fillId="2" borderId="0" xfId="0" applyNumberFormat="1" applyFont="1" applyFill="1" applyAlignment="1" applyProtection="1">
      <alignment horizontal="center" vertical="center"/>
    </xf>
    <xf numFmtId="166" fontId="0" fillId="2" borderId="0" xfId="0" applyNumberFormat="1" applyFill="1" applyAlignment="1" applyProtection="1">
      <alignment horizontal="center" vertical="center"/>
    </xf>
    <xf numFmtId="166" fontId="37" fillId="0" borderId="2" xfId="0" applyNumberFormat="1" applyFont="1" applyFill="1" applyBorder="1" applyAlignment="1" applyProtection="1">
      <alignment horizontal="right" vertical="center"/>
    </xf>
    <xf numFmtId="166" fontId="37" fillId="0" borderId="19" xfId="0" applyNumberFormat="1" applyFont="1" applyFill="1" applyBorder="1" applyAlignment="1" applyProtection="1">
      <alignment horizontal="right" vertical="center"/>
    </xf>
    <xf numFmtId="166" fontId="38" fillId="0" borderId="2" xfId="0" applyNumberFormat="1" applyFont="1" applyFill="1" applyBorder="1" applyAlignment="1" applyProtection="1">
      <alignment horizontal="right" vertical="center"/>
    </xf>
    <xf numFmtId="166" fontId="29" fillId="0" borderId="0" xfId="0" applyNumberFormat="1" applyFont="1" applyAlignment="1" applyProtection="1">
      <alignment horizontal="center" vertical="center"/>
    </xf>
    <xf numFmtId="166" fontId="0" fillId="0" borderId="0" xfId="0" applyNumberFormat="1" applyProtection="1"/>
    <xf numFmtId="0" fontId="13" fillId="0" borderId="18" xfId="0" applyFont="1" applyFill="1" applyBorder="1" applyAlignment="1" applyProtection="1">
      <alignment horizontal="left" vertical="center"/>
    </xf>
    <xf numFmtId="0" fontId="13" fillId="0" borderId="22" xfId="0" applyFont="1" applyFill="1" applyBorder="1" applyAlignment="1" applyProtection="1">
      <alignment horizontal="left" vertical="center" wrapText="1"/>
    </xf>
    <xf numFmtId="0" fontId="0" fillId="0" borderId="0" xfId="0" applyFill="1" applyProtection="1"/>
    <xf numFmtId="0" fontId="13" fillId="0" borderId="18" xfId="0" applyFont="1" applyFill="1" applyBorder="1" applyAlignment="1" applyProtection="1">
      <alignment horizontal="left" vertical="center" wrapText="1"/>
    </xf>
    <xf numFmtId="0" fontId="13" fillId="0" borderId="22" xfId="0" applyFont="1" applyFill="1" applyBorder="1" applyAlignment="1" applyProtection="1">
      <alignment horizontal="left" vertical="center"/>
    </xf>
    <xf numFmtId="0" fontId="41" fillId="7" borderId="33" xfId="0" applyFont="1" applyFill="1" applyBorder="1" applyAlignment="1" applyProtection="1">
      <alignment horizontal="center" vertical="center"/>
    </xf>
    <xf numFmtId="0" fontId="41" fillId="7" borderId="34" xfId="0" applyFont="1" applyFill="1" applyBorder="1" applyAlignment="1" applyProtection="1">
      <alignment horizontal="center" vertical="center"/>
    </xf>
    <xf numFmtId="0" fontId="41" fillId="7" borderId="35" xfId="0" applyFont="1" applyFill="1" applyBorder="1" applyAlignment="1" applyProtection="1">
      <alignment horizontal="center" vertical="center"/>
    </xf>
    <xf numFmtId="0" fontId="41" fillId="6" borderId="33" xfId="0" applyFont="1" applyFill="1" applyBorder="1" applyAlignment="1" applyProtection="1">
      <alignment horizontal="center" vertical="center" wrapText="1"/>
    </xf>
    <xf numFmtId="0" fontId="41" fillId="6" borderId="34" xfId="0" applyFont="1" applyFill="1" applyBorder="1" applyAlignment="1" applyProtection="1">
      <alignment horizontal="center" vertical="center"/>
    </xf>
    <xf numFmtId="0" fontId="41" fillId="6" borderId="35" xfId="0" applyFont="1" applyFill="1" applyBorder="1" applyAlignment="1" applyProtection="1">
      <alignment horizontal="center" vertical="center"/>
    </xf>
    <xf numFmtId="0" fontId="41" fillId="8" borderId="2" xfId="0" applyFont="1" applyFill="1" applyBorder="1" applyAlignment="1" applyProtection="1">
      <alignment horizontal="center" vertical="center"/>
    </xf>
    <xf numFmtId="0" fontId="41" fillId="8" borderId="3" xfId="0" applyFont="1" applyFill="1" applyBorder="1" applyAlignment="1" applyProtection="1">
      <alignment horizontal="center" vertical="center"/>
    </xf>
    <xf numFmtId="0" fontId="41" fillId="9" borderId="33" xfId="0" applyFont="1" applyFill="1" applyBorder="1" applyAlignment="1" applyProtection="1">
      <alignment horizontal="center" vertical="center"/>
    </xf>
    <xf numFmtId="0" fontId="41" fillId="9" borderId="34" xfId="0" applyFont="1" applyFill="1" applyBorder="1" applyAlignment="1" applyProtection="1">
      <alignment horizontal="center" vertical="center"/>
    </xf>
    <xf numFmtId="0" fontId="41" fillId="9" borderId="35" xfId="0" applyFont="1" applyFill="1" applyBorder="1" applyAlignment="1" applyProtection="1">
      <alignment horizontal="center" vertical="center"/>
    </xf>
    <xf numFmtId="169" fontId="33" fillId="5" borderId="30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164" fontId="44" fillId="0" borderId="0" xfId="0" applyNumberFormat="1" applyFont="1" applyFill="1" applyBorder="1" applyAlignment="1" applyProtection="1">
      <alignment vertical="center"/>
    </xf>
    <xf numFmtId="0" fontId="44" fillId="0" borderId="0" xfId="0" applyFont="1" applyAlignment="1" applyProtection="1">
      <alignment horizontal="right" vertical="center"/>
    </xf>
    <xf numFmtId="0" fontId="44" fillId="0" borderId="0" xfId="0" applyFont="1" applyFill="1" applyAlignment="1" applyProtection="1">
      <alignment horizontal="left" vertical="center"/>
    </xf>
    <xf numFmtId="0" fontId="34" fillId="0" borderId="0" xfId="0" applyNumberFormat="1" applyFont="1" applyBorder="1" applyAlignment="1">
      <alignment horizontal="center"/>
    </xf>
    <xf numFmtId="9" fontId="34" fillId="0" borderId="0" xfId="3" applyNumberFormat="1" applyFont="1" applyBorder="1" applyAlignment="1">
      <alignment horizontal="center" vertical="top"/>
    </xf>
    <xf numFmtId="44" fontId="0" fillId="0" borderId="0" xfId="0" applyNumberFormat="1" applyAlignment="1" applyProtection="1">
      <alignment horizontal="left" vertical="center"/>
    </xf>
    <xf numFmtId="44" fontId="0" fillId="0" borderId="10" xfId="0" applyNumberFormat="1" applyFill="1" applyBorder="1" applyAlignment="1" applyProtection="1">
      <alignment horizontal="left" vertical="center"/>
    </xf>
    <xf numFmtId="44" fontId="0" fillId="0" borderId="10" xfId="0" applyNumberForma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/>
    </xf>
    <xf numFmtId="44" fontId="5" fillId="4" borderId="4" xfId="0" applyNumberFormat="1" applyFont="1" applyFill="1" applyBorder="1" applyAlignment="1" applyProtection="1">
      <alignment horizontal="right"/>
    </xf>
    <xf numFmtId="44" fontId="0" fillId="0" borderId="13" xfId="0" applyNumberFormat="1" applyBorder="1" applyAlignment="1" applyProtection="1">
      <alignment horizontal="right" vertical="center"/>
    </xf>
    <xf numFmtId="44" fontId="0" fillId="0" borderId="8" xfId="0" applyNumberFormat="1" applyBorder="1" applyAlignment="1" applyProtection="1">
      <alignment horizontal="right" vertical="center"/>
    </xf>
    <xf numFmtId="44" fontId="0" fillId="0" borderId="10" xfId="0" applyNumberForma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166" fontId="0" fillId="11" borderId="0" xfId="0" applyNumberFormat="1" applyFill="1" applyProtection="1"/>
    <xf numFmtId="0" fontId="13" fillId="10" borderId="18" xfId="0" applyFont="1" applyFill="1" applyBorder="1" applyAlignment="1" applyProtection="1">
      <alignment horizontal="left" vertical="center"/>
    </xf>
    <xf numFmtId="166" fontId="38" fillId="10" borderId="2" xfId="0" applyNumberFormat="1" applyFont="1" applyFill="1" applyBorder="1" applyAlignment="1" applyProtection="1">
      <alignment horizontal="right" vertical="center"/>
    </xf>
    <xf numFmtId="166" fontId="37" fillId="10" borderId="2" xfId="0" applyNumberFormat="1" applyFont="1" applyFill="1" applyBorder="1" applyAlignment="1" applyProtection="1">
      <alignment horizontal="right" vertical="center"/>
    </xf>
    <xf numFmtId="0" fontId="13" fillId="10" borderId="22" xfId="0" applyFont="1" applyFill="1" applyBorder="1" applyAlignment="1" applyProtection="1">
      <alignment horizontal="left" vertical="center"/>
    </xf>
    <xf numFmtId="166" fontId="37" fillId="10" borderId="19" xfId="0" applyNumberFormat="1" applyFont="1" applyFill="1" applyBorder="1" applyAlignment="1" applyProtection="1">
      <alignment horizontal="right" vertical="center"/>
    </xf>
    <xf numFmtId="166" fontId="37" fillId="10" borderId="21" xfId="0" applyNumberFormat="1" applyFont="1" applyFill="1" applyBorder="1" applyAlignment="1" applyProtection="1">
      <alignment horizontal="right" vertical="center"/>
    </xf>
    <xf numFmtId="166" fontId="37" fillId="10" borderId="3" xfId="0" applyNumberFormat="1" applyFont="1" applyFill="1" applyBorder="1" applyAlignment="1" applyProtection="1">
      <alignment horizontal="right" vertical="center"/>
    </xf>
    <xf numFmtId="44" fontId="0" fillId="0" borderId="42" xfId="0" applyNumberFormat="1" applyBorder="1" applyAlignment="1" applyProtection="1">
      <alignment horizontal="right" vertical="center"/>
    </xf>
    <xf numFmtId="44" fontId="0" fillId="0" borderId="7" xfId="0" applyNumberFormat="1" applyBorder="1" applyAlignment="1" applyProtection="1">
      <alignment horizontal="right" vertical="center"/>
    </xf>
    <xf numFmtId="44" fontId="0" fillId="0" borderId="44" xfId="0" applyNumberFormat="1" applyBorder="1" applyAlignment="1" applyProtection="1">
      <alignment horizontal="right" vertical="center"/>
    </xf>
    <xf numFmtId="0" fontId="18" fillId="3" borderId="0" xfId="0" applyNumberFormat="1" applyFont="1" applyFill="1" applyAlignment="1">
      <alignment vertical="center"/>
    </xf>
    <xf numFmtId="0" fontId="18" fillId="3" borderId="0" xfId="0" applyFont="1" applyFill="1" applyAlignment="1">
      <alignment vertical="center"/>
    </xf>
    <xf numFmtId="168" fontId="18" fillId="3" borderId="0" xfId="0" applyNumberFormat="1" applyFont="1" applyFill="1" applyAlignment="1">
      <alignment horizontal="left" vertical="center"/>
    </xf>
    <xf numFmtId="7" fontId="0" fillId="0" borderId="0" xfId="0" applyNumberFormat="1" applyFont="1" applyAlignment="1">
      <alignment vertical="center"/>
    </xf>
    <xf numFmtId="44" fontId="0" fillId="12" borderId="0" xfId="0" applyNumberFormat="1" applyFill="1" applyAlignment="1" applyProtection="1">
      <alignment horizontal="center"/>
    </xf>
    <xf numFmtId="44" fontId="0" fillId="12" borderId="0" xfId="0" applyNumberFormat="1" applyFill="1" applyProtection="1"/>
    <xf numFmtId="44" fontId="0" fillId="12" borderId="0" xfId="0" applyNumberFormat="1" applyFill="1" applyAlignment="1" applyProtection="1">
      <alignment horizontal="left" vertical="center"/>
    </xf>
    <xf numFmtId="0" fontId="41" fillId="8" borderId="33" xfId="0" applyFont="1" applyFill="1" applyBorder="1" applyAlignment="1" applyProtection="1">
      <alignment horizontal="center" vertical="center" wrapText="1"/>
    </xf>
    <xf numFmtId="0" fontId="41" fillId="8" borderId="18" xfId="0" applyFont="1" applyFill="1" applyBorder="1" applyAlignment="1" applyProtection="1">
      <alignment horizontal="center" vertical="center" wrapText="1"/>
    </xf>
    <xf numFmtId="0" fontId="41" fillId="8" borderId="34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/>
    </xf>
    <xf numFmtId="0" fontId="13" fillId="0" borderId="14" xfId="0" applyFont="1" applyFill="1" applyBorder="1" applyAlignment="1" applyProtection="1">
      <alignment horizontal="center" wrapText="1"/>
    </xf>
    <xf numFmtId="0" fontId="41" fillId="8" borderId="35" xfId="0" applyFont="1" applyFill="1" applyBorder="1" applyAlignment="1" applyProtection="1">
      <alignment horizontal="center" vertical="center"/>
    </xf>
    <xf numFmtId="166" fontId="41" fillId="6" borderId="34" xfId="0" applyNumberFormat="1" applyFont="1" applyFill="1" applyBorder="1" applyAlignment="1" applyProtection="1">
      <alignment horizontal="center" vertical="center"/>
    </xf>
    <xf numFmtId="166" fontId="37" fillId="0" borderId="19" xfId="0" applyNumberFormat="1" applyFont="1" applyFill="1" applyBorder="1" applyAlignment="1" applyProtection="1">
      <alignment horizontal="center" vertical="center"/>
    </xf>
    <xf numFmtId="166" fontId="37" fillId="0" borderId="36" xfId="0" applyNumberFormat="1" applyFont="1" applyFill="1" applyBorder="1" applyAlignment="1" applyProtection="1">
      <alignment horizontal="center" vertical="center"/>
    </xf>
    <xf numFmtId="166" fontId="37" fillId="0" borderId="37" xfId="0" applyNumberFormat="1" applyFont="1" applyFill="1" applyBorder="1" applyAlignment="1" applyProtection="1">
      <alignment horizontal="center" vertical="center"/>
    </xf>
    <xf numFmtId="166" fontId="37" fillId="0" borderId="38" xfId="0" applyNumberFormat="1" applyFont="1" applyFill="1" applyBorder="1" applyAlignment="1" applyProtection="1">
      <alignment horizontal="center" vertical="center"/>
    </xf>
    <xf numFmtId="166" fontId="37" fillId="0" borderId="2" xfId="0" applyNumberFormat="1" applyFont="1" applyFill="1" applyBorder="1" applyAlignment="1" applyProtection="1">
      <alignment horizontal="center" vertical="center"/>
    </xf>
    <xf numFmtId="2" fontId="37" fillId="0" borderId="14" xfId="0" quotePrefix="1" applyNumberFormat="1" applyFont="1" applyFill="1" applyBorder="1" applyAlignment="1" applyProtection="1">
      <alignment horizontal="center" vertical="center" wrapText="1"/>
    </xf>
    <xf numFmtId="2" fontId="37" fillId="0" borderId="15" xfId="0" quotePrefix="1" applyNumberFormat="1" applyFont="1" applyFill="1" applyBorder="1" applyAlignment="1" applyProtection="1">
      <alignment horizontal="center" vertical="center" wrapText="1"/>
    </xf>
    <xf numFmtId="2" fontId="37" fillId="0" borderId="31" xfId="0" quotePrefix="1" applyNumberFormat="1" applyFont="1" applyFill="1" applyBorder="1" applyAlignment="1" applyProtection="1">
      <alignment horizontal="center" vertical="center" wrapText="1"/>
    </xf>
    <xf numFmtId="2" fontId="37" fillId="0" borderId="32" xfId="0" quotePrefix="1" applyNumberFormat="1" applyFont="1" applyFill="1" applyBorder="1" applyAlignment="1" applyProtection="1">
      <alignment horizontal="center" vertical="center" wrapText="1"/>
    </xf>
    <xf numFmtId="2" fontId="37" fillId="0" borderId="31" xfId="0" applyNumberFormat="1" applyFont="1" applyFill="1" applyBorder="1" applyAlignment="1" applyProtection="1">
      <alignment horizontal="center" vertical="center" wrapText="1"/>
    </xf>
    <xf numFmtId="2" fontId="37" fillId="0" borderId="32" xfId="0" applyNumberFormat="1" applyFont="1" applyFill="1" applyBorder="1" applyAlignment="1" applyProtection="1">
      <alignment horizontal="center" vertical="center" wrapText="1"/>
    </xf>
    <xf numFmtId="2" fontId="37" fillId="0" borderId="23" xfId="0" applyNumberFormat="1" applyFont="1" applyFill="1" applyBorder="1" applyAlignment="1" applyProtection="1">
      <alignment horizontal="center" vertical="center" wrapText="1"/>
    </xf>
    <xf numFmtId="2" fontId="37" fillId="0" borderId="24" xfId="0" applyNumberFormat="1" applyFont="1" applyFill="1" applyBorder="1" applyAlignment="1" applyProtection="1">
      <alignment horizontal="center" vertical="center" wrapText="1"/>
    </xf>
    <xf numFmtId="9" fontId="37" fillId="0" borderId="31" xfId="3" applyFont="1" applyFill="1" applyBorder="1" applyAlignment="1" applyProtection="1">
      <alignment horizontal="center" vertical="center" wrapText="1"/>
    </xf>
    <xf numFmtId="9" fontId="37" fillId="0" borderId="32" xfId="3" applyFont="1" applyFill="1" applyBorder="1" applyAlignment="1" applyProtection="1">
      <alignment horizontal="center" vertical="center" wrapText="1"/>
    </xf>
    <xf numFmtId="166" fontId="38" fillId="0" borderId="2" xfId="0" applyNumberFormat="1" applyFont="1" applyFill="1" applyBorder="1" applyAlignment="1" applyProtection="1">
      <alignment horizontal="center" vertical="center"/>
    </xf>
    <xf numFmtId="164" fontId="13" fillId="0" borderId="14" xfId="0" applyNumberFormat="1" applyFont="1" applyFill="1" applyBorder="1" applyAlignment="1" applyProtection="1">
      <alignment horizontal="center"/>
    </xf>
    <xf numFmtId="166" fontId="41" fillId="7" borderId="34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166" fontId="41" fillId="9" borderId="34" xfId="0" applyNumberFormat="1" applyFont="1" applyFill="1" applyBorder="1" applyAlignment="1" applyProtection="1">
      <alignment horizontal="center" vertical="center"/>
    </xf>
    <xf numFmtId="166" fontId="37" fillId="0" borderId="2" xfId="0" applyNumberFormat="1" applyFont="1" applyBorder="1" applyAlignment="1" applyProtection="1">
      <alignment horizontal="center" vertical="center"/>
    </xf>
    <xf numFmtId="166" fontId="37" fillId="10" borderId="19" xfId="0" applyNumberFormat="1" applyFont="1" applyFill="1" applyBorder="1" applyAlignment="1" applyProtection="1">
      <alignment horizontal="center" vertical="center"/>
    </xf>
    <xf numFmtId="166" fontId="37" fillId="10" borderId="2" xfId="0" applyNumberFormat="1" applyFont="1" applyFill="1" applyBorder="1" applyAlignment="1" applyProtection="1">
      <alignment horizontal="center" vertical="center"/>
    </xf>
    <xf numFmtId="166" fontId="37" fillId="0" borderId="39" xfId="0" applyNumberFormat="1" applyFont="1" applyFill="1" applyBorder="1" applyAlignment="1" applyProtection="1">
      <alignment horizontal="center" vertical="center"/>
    </xf>
    <xf numFmtId="166" fontId="37" fillId="0" borderId="40" xfId="0" applyNumberFormat="1" applyFont="1" applyFill="1" applyBorder="1" applyAlignment="1" applyProtection="1">
      <alignment horizontal="center" vertical="center"/>
    </xf>
    <xf numFmtId="166" fontId="37" fillId="0" borderId="41" xfId="0" applyNumberFormat="1" applyFont="1" applyFill="1" applyBorder="1" applyAlignment="1" applyProtection="1">
      <alignment horizontal="center" vertical="center"/>
    </xf>
    <xf numFmtId="0" fontId="40" fillId="0" borderId="25" xfId="0" applyFont="1" applyBorder="1" applyAlignment="1" applyProtection="1">
      <alignment horizontal="center" vertical="center" textRotation="90"/>
    </xf>
    <xf numFmtId="0" fontId="40" fillId="0" borderId="28" xfId="0" applyFont="1" applyBorder="1" applyAlignment="1" applyProtection="1">
      <alignment horizontal="center" vertical="center" textRotation="90"/>
    </xf>
    <xf numFmtId="0" fontId="40" fillId="0" borderId="29" xfId="0" applyFont="1" applyBorder="1" applyAlignment="1" applyProtection="1">
      <alignment horizontal="center" vertical="center" textRotation="90"/>
    </xf>
    <xf numFmtId="166" fontId="37" fillId="10" borderId="36" xfId="0" applyNumberFormat="1" applyFont="1" applyFill="1" applyBorder="1" applyAlignment="1" applyProtection="1">
      <alignment horizontal="center" vertical="center"/>
    </xf>
    <xf numFmtId="166" fontId="37" fillId="10" borderId="37" xfId="0" applyNumberFormat="1" applyFont="1" applyFill="1" applyBorder="1" applyAlignment="1" applyProtection="1">
      <alignment horizontal="center" vertical="center"/>
    </xf>
    <xf numFmtId="166" fontId="37" fillId="10" borderId="38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0" fillId="0" borderId="14" xfId="0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0" fontId="0" fillId="0" borderId="43" xfId="0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7" fillId="0" borderId="0" xfId="0" applyFont="1" applyAlignment="1">
      <alignment horizontal="center" wrapText="1"/>
    </xf>
  </cellXfs>
  <cellStyles count="4">
    <cellStyle name="Euro" xfId="1"/>
    <cellStyle name="Normal" xfId="0" builtinId="0"/>
    <cellStyle name="Normal 3 2" xfId="2"/>
    <cellStyle name="Pourcentage" xfId="3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0</xdr:row>
      <xdr:rowOff>68037</xdr:rowOff>
    </xdr:from>
    <xdr:to>
      <xdr:col>1</xdr:col>
      <xdr:colOff>904875</xdr:colOff>
      <xdr:row>2</xdr:row>
      <xdr:rowOff>459411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" y="68037"/>
          <a:ext cx="850447" cy="924774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304800</xdr:colOff>
      <xdr:row>0</xdr:row>
      <xdr:rowOff>47625</xdr:rowOff>
    </xdr:from>
    <xdr:to>
      <xdr:col>11</xdr:col>
      <xdr:colOff>676034</xdr:colOff>
      <xdr:row>2</xdr:row>
      <xdr:rowOff>579413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48525" y="47625"/>
          <a:ext cx="2676284" cy="1065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185058</xdr:rowOff>
    </xdr:from>
    <xdr:to>
      <xdr:col>1</xdr:col>
      <xdr:colOff>342900</xdr:colOff>
      <xdr:row>3</xdr:row>
      <xdr:rowOff>104776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85058"/>
          <a:ext cx="1162050" cy="891268"/>
        </a:xfrm>
        <a:prstGeom prst="rect">
          <a:avLst/>
        </a:prstGeom>
      </xdr:spPr>
    </xdr:pic>
    <xdr:clientData/>
  </xdr:twoCellAnchor>
  <xdr:twoCellAnchor>
    <xdr:from>
      <xdr:col>4</xdr:col>
      <xdr:colOff>209550</xdr:colOff>
      <xdr:row>25</xdr:row>
      <xdr:rowOff>28575</xdr:rowOff>
    </xdr:from>
    <xdr:to>
      <xdr:col>4</xdr:col>
      <xdr:colOff>1343025</xdr:colOff>
      <xdr:row>25</xdr:row>
      <xdr:rowOff>28575</xdr:rowOff>
    </xdr:to>
    <xdr:cxnSp macro="">
      <xdr:nvCxnSpPr>
        <xdr:cNvPr id="3" name="Connecteur droit avec flèche 2"/>
        <xdr:cNvCxnSpPr/>
      </xdr:nvCxnSpPr>
      <xdr:spPr>
        <a:xfrm>
          <a:off x="2905125" y="4676775"/>
          <a:ext cx="11334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123642</xdr:colOff>
      <xdr:row>17</xdr:row>
      <xdr:rowOff>148354</xdr:rowOff>
    </xdr:from>
    <xdr:to>
      <xdr:col>9</xdr:col>
      <xdr:colOff>83169</xdr:colOff>
      <xdr:row>22</xdr:row>
      <xdr:rowOff>73054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20353170">
          <a:off x="5114742" y="3482104"/>
          <a:ext cx="435777" cy="753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S\ALEF\TARIFS\Tarifs%20p&#233;risco.%20&#224;%20partir%20de%202019\TARIFS%20CC%20PORTES%20DE%20ROSHE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ulateur de tarif"/>
      <sheetName val="Commentaires"/>
      <sheetName val="N N+1"/>
      <sheetName val="N-1 N nouvelle construction"/>
      <sheetName val="N-1 N"/>
      <sheetName val="18 19"/>
    </sheetNames>
    <sheetDataSet>
      <sheetData sheetId="0">
        <row r="14">
          <cell r="L14">
            <v>0.2</v>
          </cell>
        </row>
        <row r="31">
          <cell r="K31" t="str">
            <v xml:space="preserve">Une réduction s'applique pour les fratries: </v>
          </cell>
        </row>
        <row r="32">
          <cell r="J32">
            <v>-0.05</v>
          </cell>
        </row>
        <row r="33">
          <cell r="J33">
            <v>-0.1</v>
          </cell>
        </row>
        <row r="34">
          <cell r="J34">
            <v>-0.15</v>
          </cell>
        </row>
      </sheetData>
      <sheetData sheetId="1"/>
      <sheetData sheetId="2">
        <row r="6">
          <cell r="A6" t="str">
            <v>Année scolaire 2020/2021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Z65"/>
  <sheetViews>
    <sheetView showGridLines="0" zoomScaleNormal="100" workbookViewId="0">
      <selection activeCell="F56" sqref="F56"/>
    </sheetView>
  </sheetViews>
  <sheetFormatPr baseColWidth="10" defaultRowHeight="12.75"/>
  <cols>
    <col min="1" max="1" width="7.28515625" style="3" customWidth="1"/>
    <col min="2" max="2" width="36" style="3" customWidth="1"/>
    <col min="3" max="9" width="10.140625" style="125" customWidth="1"/>
    <col min="10" max="10" width="10.140625" style="128" customWidth="1"/>
    <col min="11" max="11" width="14.28515625" style="128" customWidth="1"/>
    <col min="12" max="12" width="14.28515625" style="98" customWidth="1"/>
    <col min="13" max="13" width="10.85546875" style="98" bestFit="1" customWidth="1"/>
    <col min="14" max="14" width="7.140625" style="81" customWidth="1"/>
    <col min="15" max="15" width="11.42578125" style="100"/>
    <col min="16" max="17" width="11.42578125" style="3"/>
    <col min="18" max="18" width="8.7109375" style="3" customWidth="1"/>
    <col min="19" max="16384" width="11.42578125" style="3"/>
  </cols>
  <sheetData>
    <row r="2" spans="2:26" s="78" customFormat="1" ht="29.25">
      <c r="B2" s="204" t="s">
        <v>83</v>
      </c>
      <c r="C2" s="204"/>
      <c r="D2" s="204"/>
      <c r="E2" s="204"/>
      <c r="F2" s="204"/>
      <c r="G2" s="204"/>
      <c r="H2" s="204"/>
      <c r="I2" s="204"/>
      <c r="J2" s="204"/>
      <c r="K2" s="204"/>
      <c r="L2" s="71"/>
      <c r="M2" s="75"/>
      <c r="N2" s="76"/>
      <c r="O2" s="77"/>
    </row>
    <row r="3" spans="2:26" s="78" customFormat="1" ht="60.75" customHeight="1">
      <c r="B3" s="205" t="s">
        <v>101</v>
      </c>
      <c r="C3" s="205"/>
      <c r="D3" s="205"/>
      <c r="E3" s="205"/>
      <c r="F3" s="205"/>
      <c r="G3" s="205"/>
      <c r="H3" s="205"/>
      <c r="I3" s="205"/>
      <c r="J3" s="205"/>
      <c r="K3" s="205"/>
      <c r="L3" s="72"/>
      <c r="M3" s="75"/>
      <c r="N3" s="76"/>
      <c r="O3" s="77"/>
    </row>
    <row r="4" spans="2:26" s="79" customFormat="1" ht="29.25">
      <c r="L4" s="73"/>
      <c r="M4" s="80"/>
      <c r="N4" s="81"/>
      <c r="O4" s="82"/>
    </row>
    <row r="5" spans="2:26" s="6" customFormat="1" ht="43.5" customHeight="1">
      <c r="B5" s="206" t="s">
        <v>102</v>
      </c>
      <c r="C5" s="206"/>
      <c r="D5" s="206"/>
      <c r="E5" s="206"/>
      <c r="F5" s="206"/>
      <c r="G5" s="206"/>
      <c r="H5" s="206"/>
      <c r="I5" s="206"/>
      <c r="J5" s="206"/>
      <c r="K5" s="206"/>
      <c r="L5" s="71"/>
      <c r="M5" s="83"/>
      <c r="N5" s="81"/>
      <c r="O5" s="84"/>
    </row>
    <row r="6" spans="2:26" s="6" customFormat="1" ht="20.25">
      <c r="B6" s="207" t="s">
        <v>107</v>
      </c>
      <c r="C6" s="207"/>
      <c r="D6" s="207"/>
      <c r="E6" s="207"/>
      <c r="F6" s="207"/>
      <c r="G6" s="207"/>
      <c r="H6" s="207"/>
      <c r="I6" s="207"/>
      <c r="J6" s="207"/>
      <c r="K6" s="207"/>
      <c r="L6" s="72"/>
      <c r="M6" s="83"/>
      <c r="N6" s="81"/>
      <c r="O6" s="84"/>
    </row>
    <row r="7" spans="2:26" s="6" customFormat="1" ht="8.25" customHeight="1"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6"/>
      <c r="M7" s="83"/>
      <c r="N7" s="81"/>
      <c r="O7" s="84"/>
    </row>
    <row r="8" spans="2:26" s="140" customFormat="1" ht="17.25" customHeight="1">
      <c r="B8" s="210" t="s">
        <v>84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138"/>
      <c r="N8" s="139"/>
      <c r="O8" s="84"/>
    </row>
    <row r="9" spans="2:26" s="90" customFormat="1" ht="62.25" customHeight="1">
      <c r="B9" s="208" t="s">
        <v>124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85"/>
      <c r="N9" s="88" t="s">
        <v>82</v>
      </c>
      <c r="O9" s="89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</row>
    <row r="10" spans="2:26" s="90" customFormat="1" ht="9" customHeight="1"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85"/>
      <c r="N10" s="91"/>
      <c r="O10" s="89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</row>
    <row r="11" spans="2:26" s="90" customFormat="1" ht="17.25">
      <c r="C11" s="92" t="s">
        <v>95</v>
      </c>
      <c r="D11" s="94"/>
      <c r="E11" s="94"/>
      <c r="F11" s="94"/>
      <c r="G11" s="94"/>
      <c r="H11" s="94"/>
      <c r="J11" s="94"/>
      <c r="M11" s="85"/>
      <c r="N11" s="91"/>
      <c r="O11" s="89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</row>
    <row r="12" spans="2:26" s="90" customFormat="1" ht="17.25">
      <c r="D12" s="167"/>
      <c r="E12" s="167"/>
      <c r="F12" s="168" t="s">
        <v>94</v>
      </c>
      <c r="G12" s="169">
        <f>QFplancher</f>
        <v>400</v>
      </c>
      <c r="H12" s="167"/>
      <c r="I12" s="167"/>
      <c r="J12" s="167"/>
      <c r="K12" s="168" t="s">
        <v>93</v>
      </c>
      <c r="L12" s="169">
        <f>QFplafond</f>
        <v>2500</v>
      </c>
      <c r="M12" s="96"/>
      <c r="N12" s="164">
        <v>7.0000000000000007E-2</v>
      </c>
      <c r="O12" s="97" t="s">
        <v>70</v>
      </c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</row>
    <row r="13" spans="2:26" s="90" customFormat="1" ht="18" thickBot="1">
      <c r="B13" s="95"/>
      <c r="C13" s="230" t="s">
        <v>113</v>
      </c>
      <c r="D13" s="230"/>
      <c r="E13" s="230"/>
      <c r="F13" s="230"/>
      <c r="G13" s="230"/>
      <c r="H13" s="230"/>
      <c r="I13" s="230"/>
      <c r="J13" s="230"/>
      <c r="K13" s="211" t="s">
        <v>114</v>
      </c>
      <c r="L13" s="211"/>
      <c r="M13" s="96"/>
      <c r="N13" s="52">
        <v>0.95</v>
      </c>
      <c r="O13" s="97" t="s">
        <v>0</v>
      </c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</row>
    <row r="14" spans="2:26" ht="33" customHeight="1">
      <c r="B14" s="201" t="s">
        <v>86</v>
      </c>
      <c r="C14" s="203" t="s">
        <v>6</v>
      </c>
      <c r="D14" s="203"/>
      <c r="E14" s="203" t="s">
        <v>7</v>
      </c>
      <c r="F14" s="203"/>
      <c r="G14" s="203" t="s">
        <v>8</v>
      </c>
      <c r="H14" s="203"/>
      <c r="I14" s="203" t="s">
        <v>9</v>
      </c>
      <c r="J14" s="203"/>
      <c r="K14" s="203" t="s">
        <v>37</v>
      </c>
      <c r="L14" s="212"/>
      <c r="N14" s="52">
        <v>0.95</v>
      </c>
      <c r="O14" s="97" t="s">
        <v>71</v>
      </c>
    </row>
    <row r="15" spans="2:26" ht="25.5" customHeight="1">
      <c r="B15" s="202"/>
      <c r="C15" s="159" t="s">
        <v>35</v>
      </c>
      <c r="D15" s="159" t="s">
        <v>36</v>
      </c>
      <c r="E15" s="159" t="s">
        <v>35</v>
      </c>
      <c r="F15" s="159" t="s">
        <v>36</v>
      </c>
      <c r="G15" s="159" t="s">
        <v>35</v>
      </c>
      <c r="H15" s="159" t="s">
        <v>36</v>
      </c>
      <c r="I15" s="159" t="s">
        <v>35</v>
      </c>
      <c r="J15" s="159" t="s">
        <v>36</v>
      </c>
      <c r="K15" s="159" t="s">
        <v>35</v>
      </c>
      <c r="L15" s="160" t="s">
        <v>36</v>
      </c>
      <c r="N15" s="52">
        <v>0.1</v>
      </c>
      <c r="O15" s="97" t="s">
        <v>72</v>
      </c>
    </row>
    <row r="16" spans="2:26" ht="18">
      <c r="B16" s="148" t="s">
        <v>119</v>
      </c>
      <c r="C16" s="145">
        <v>55.2</v>
      </c>
      <c r="D16" s="143">
        <f>ROUND(+C16*(1+EcartMiniMaxi),1)</f>
        <v>77.3</v>
      </c>
      <c r="E16" s="143">
        <f>ROUND(C16/4*3,1)</f>
        <v>41.4</v>
      </c>
      <c r="F16" s="143">
        <f>ROUND(+E16*(1+EcartMiniMaxi),1)</f>
        <v>58</v>
      </c>
      <c r="G16" s="143">
        <f t="shared" ref="G16" si="0">ROUND(C16/4*2*(1+Majo2jours),1)</f>
        <v>30.4</v>
      </c>
      <c r="H16" s="143">
        <f t="shared" ref="H16" si="1">ROUND(D16/4*2*(1+Majo2jours),1)</f>
        <v>42.5</v>
      </c>
      <c r="I16" s="143">
        <f t="shared" ref="I16" si="2">ROUND(C16/4*(1+MAjo1jour),1)</f>
        <v>15.9</v>
      </c>
      <c r="J16" s="143">
        <f t="shared" ref="J16" si="3">ROUND(D16/4*(1+MAjo1jour),1)</f>
        <v>22.2</v>
      </c>
      <c r="K16" s="219" t="s">
        <v>80</v>
      </c>
      <c r="L16" s="220"/>
      <c r="N16" s="52"/>
      <c r="O16" s="97"/>
      <c r="R16" s="11" t="s">
        <v>115</v>
      </c>
    </row>
    <row r="17" spans="1:19" ht="18">
      <c r="B17" s="148" t="s">
        <v>103</v>
      </c>
      <c r="C17" s="145">
        <f>ROUND(R17*(1+Augmentationgénérale),1)</f>
        <v>132.30000000000001</v>
      </c>
      <c r="D17" s="143">
        <f>ROUND(+C17*(1+EcartMiniMaxi),1)</f>
        <v>185.2</v>
      </c>
      <c r="E17" s="143">
        <f>ROUND(C17/4*3,1)</f>
        <v>99.2</v>
      </c>
      <c r="F17" s="143">
        <f>ROUND(+E17*(1+EcartMiniMaxi),1)</f>
        <v>138.9</v>
      </c>
      <c r="G17" s="143">
        <f t="shared" ref="G17:H20" si="4">ROUND(C17/4*2*(1+Majo2jours),1)</f>
        <v>72.8</v>
      </c>
      <c r="H17" s="143">
        <f t="shared" si="4"/>
        <v>101.9</v>
      </c>
      <c r="I17" s="143">
        <f t="shared" ref="I17:J20" si="5">ROUND(C17/4*(1+MAjo1jour),1)</f>
        <v>38</v>
      </c>
      <c r="J17" s="143">
        <f t="shared" si="5"/>
        <v>53.2</v>
      </c>
      <c r="K17" s="221"/>
      <c r="L17" s="222"/>
      <c r="N17" s="52">
        <v>0.15</v>
      </c>
      <c r="O17" s="97" t="s">
        <v>73</v>
      </c>
      <c r="R17" s="142">
        <v>123.6</v>
      </c>
      <c r="S17" s="137" t="s">
        <v>103</v>
      </c>
    </row>
    <row r="18" spans="1:19" ht="18">
      <c r="B18" s="148" t="s">
        <v>109</v>
      </c>
      <c r="C18" s="145">
        <f>ROUND(R18*(1+Augmentationgénérale),1)</f>
        <v>59.3</v>
      </c>
      <c r="D18" s="143">
        <f>ROUND(+C18*(1+EcartMiniMaxi),1)</f>
        <v>83</v>
      </c>
      <c r="E18" s="143">
        <f>ROUND(C18/4*3,1)</f>
        <v>44.5</v>
      </c>
      <c r="F18" s="143">
        <f>ROUND(+E18*(1+EcartMiniMaxi),1)</f>
        <v>62.3</v>
      </c>
      <c r="G18" s="143">
        <f t="shared" si="4"/>
        <v>32.6</v>
      </c>
      <c r="H18" s="143">
        <f t="shared" si="4"/>
        <v>45.7</v>
      </c>
      <c r="I18" s="143">
        <f t="shared" si="5"/>
        <v>17</v>
      </c>
      <c r="J18" s="143">
        <f t="shared" si="5"/>
        <v>23.9</v>
      </c>
      <c r="K18" s="227">
        <f>Horscollectivité</f>
        <v>0.2</v>
      </c>
      <c r="L18" s="228"/>
      <c r="N18" s="52">
        <v>0.3</v>
      </c>
      <c r="O18" s="97" t="s">
        <v>77</v>
      </c>
      <c r="R18" s="142">
        <v>55.4</v>
      </c>
      <c r="S18" s="137" t="s">
        <v>104</v>
      </c>
    </row>
    <row r="19" spans="1:19" ht="18" hidden="1">
      <c r="B19" s="184"/>
      <c r="C19" s="185"/>
      <c r="D19" s="186"/>
      <c r="E19" s="186"/>
      <c r="F19" s="186"/>
      <c r="G19" s="186"/>
      <c r="H19" s="186"/>
      <c r="I19" s="186"/>
      <c r="J19" s="186"/>
      <c r="K19" s="223" t="s">
        <v>81</v>
      </c>
      <c r="L19" s="224"/>
      <c r="N19" s="52"/>
      <c r="O19" s="97"/>
      <c r="R19" s="142"/>
      <c r="S19" s="137"/>
    </row>
    <row r="20" spans="1:19" ht="35.25" thickBot="1">
      <c r="B20" s="149" t="s">
        <v>133</v>
      </c>
      <c r="C20" s="144">
        <f>ROUND((C17+C18)*midisoir,1)</f>
        <v>182</v>
      </c>
      <c r="D20" s="144">
        <f>ROUND(+C20*(1+EcartMiniMaxi),1)</f>
        <v>254.8</v>
      </c>
      <c r="E20" s="144">
        <f>ROUND(C20/4*3,1)</f>
        <v>136.5</v>
      </c>
      <c r="F20" s="144">
        <f>ROUND(+E20*(1+EcartMiniMaxi),1)</f>
        <v>191.1</v>
      </c>
      <c r="G20" s="144">
        <f t="shared" si="4"/>
        <v>100.1</v>
      </c>
      <c r="H20" s="144">
        <f t="shared" si="4"/>
        <v>140.1</v>
      </c>
      <c r="I20" s="144">
        <f t="shared" si="5"/>
        <v>52.3</v>
      </c>
      <c r="J20" s="144">
        <f t="shared" si="5"/>
        <v>73.3</v>
      </c>
      <c r="K20" s="225"/>
      <c r="L20" s="226"/>
      <c r="N20" s="52">
        <v>0.3</v>
      </c>
      <c r="O20" s="97" t="s">
        <v>74</v>
      </c>
      <c r="R20" s="142">
        <v>42.4</v>
      </c>
      <c r="S20" s="137" t="s">
        <v>105</v>
      </c>
    </row>
    <row r="21" spans="1:19" ht="6.75" customHeight="1" thickBot="1">
      <c r="B21" s="150"/>
      <c r="C21" s="147"/>
      <c r="D21" s="3"/>
      <c r="E21" s="3"/>
      <c r="F21" s="3"/>
      <c r="G21" s="3"/>
      <c r="H21" s="3"/>
      <c r="I21" s="3"/>
      <c r="J21" s="3"/>
      <c r="K21" s="3"/>
      <c r="L21" s="3"/>
      <c r="N21" s="52"/>
      <c r="O21" s="97"/>
      <c r="R21" s="142"/>
      <c r="S21" s="137" t="s">
        <v>120</v>
      </c>
    </row>
    <row r="22" spans="1:19" ht="53.25" customHeight="1">
      <c r="B22" s="156" t="s">
        <v>87</v>
      </c>
      <c r="C22" s="213" t="s">
        <v>35</v>
      </c>
      <c r="D22" s="213"/>
      <c r="E22" s="213"/>
      <c r="F22" s="213"/>
      <c r="G22" s="213" t="s">
        <v>36</v>
      </c>
      <c r="H22" s="213"/>
      <c r="I22" s="213"/>
      <c r="J22" s="213"/>
      <c r="K22" s="157" t="s">
        <v>35</v>
      </c>
      <c r="L22" s="158" t="s">
        <v>36</v>
      </c>
      <c r="M22" s="99"/>
      <c r="R22" s="142">
        <v>53</v>
      </c>
      <c r="S22" s="137" t="s">
        <v>121</v>
      </c>
    </row>
    <row r="23" spans="1:19" ht="18">
      <c r="B23" s="148" t="s">
        <v>131</v>
      </c>
      <c r="C23" s="215">
        <f>C16*10/144/2*36/10</f>
        <v>6.9</v>
      </c>
      <c r="D23" s="216"/>
      <c r="E23" s="216"/>
      <c r="F23" s="217"/>
      <c r="G23" s="215">
        <f t="shared" ref="G23:G28" si="6">ROUND(+C23*(1+EcartMiniMaxi),1)</f>
        <v>9.6999999999999993</v>
      </c>
      <c r="H23" s="216"/>
      <c r="I23" s="216"/>
      <c r="J23" s="217"/>
      <c r="K23" s="135">
        <f t="shared" ref="K23:K28" si="7">ROUND(C23*(1+Horscollectivité),1)</f>
        <v>8.3000000000000007</v>
      </c>
      <c r="L23" s="136">
        <f t="shared" ref="L23:L28" si="8">ROUND(+G23*(1+Horscollectivité),1)</f>
        <v>11.6</v>
      </c>
      <c r="N23" s="53">
        <v>400</v>
      </c>
      <c r="O23" s="97" t="s">
        <v>75</v>
      </c>
      <c r="R23" s="141">
        <v>75.5</v>
      </c>
      <c r="S23" s="137" t="s">
        <v>106</v>
      </c>
    </row>
    <row r="24" spans="1:19" ht="34.5">
      <c r="B24" s="151" t="s">
        <v>123</v>
      </c>
      <c r="C24" s="215">
        <f>ROUND(R20*(1+Augmentationgénérale),1)</f>
        <v>45.4</v>
      </c>
      <c r="D24" s="216"/>
      <c r="E24" s="216"/>
      <c r="F24" s="217"/>
      <c r="G24" s="215">
        <f t="shared" si="6"/>
        <v>63.6</v>
      </c>
      <c r="H24" s="216"/>
      <c r="I24" s="216"/>
      <c r="J24" s="217"/>
      <c r="K24" s="135">
        <f t="shared" si="7"/>
        <v>54.5</v>
      </c>
      <c r="L24" s="136">
        <f t="shared" si="8"/>
        <v>76.3</v>
      </c>
      <c r="N24" s="53"/>
      <c r="O24" s="97"/>
      <c r="R24" s="101"/>
      <c r="S24" s="137"/>
    </row>
    <row r="25" spans="1:19" ht="34.5">
      <c r="B25" s="151" t="s">
        <v>122</v>
      </c>
      <c r="C25" s="218">
        <f>C24+5</f>
        <v>50.4</v>
      </c>
      <c r="D25" s="218"/>
      <c r="E25" s="218"/>
      <c r="F25" s="218"/>
      <c r="G25" s="218">
        <f t="shared" si="6"/>
        <v>70.599999999999994</v>
      </c>
      <c r="H25" s="218"/>
      <c r="I25" s="218"/>
      <c r="J25" s="218"/>
      <c r="K25" s="135">
        <f t="shared" si="7"/>
        <v>60.5</v>
      </c>
      <c r="L25" s="136">
        <f t="shared" si="8"/>
        <v>84.7</v>
      </c>
      <c r="N25" s="53"/>
      <c r="O25" s="97"/>
      <c r="R25" s="101"/>
      <c r="S25" s="137"/>
    </row>
    <row r="26" spans="1:19" ht="18">
      <c r="B26" s="148" t="s">
        <v>10</v>
      </c>
      <c r="C26" s="229">
        <f>ROUND(R22*(1+Augmentationgénérale),1)</f>
        <v>56.7</v>
      </c>
      <c r="D26" s="229"/>
      <c r="E26" s="229"/>
      <c r="F26" s="229"/>
      <c r="G26" s="229">
        <f t="shared" si="6"/>
        <v>79.400000000000006</v>
      </c>
      <c r="H26" s="229"/>
      <c r="I26" s="229"/>
      <c r="J26" s="229"/>
      <c r="K26" s="135">
        <f t="shared" si="7"/>
        <v>68</v>
      </c>
      <c r="L26" s="136">
        <f t="shared" si="8"/>
        <v>95.3</v>
      </c>
      <c r="N26" s="69">
        <v>2500</v>
      </c>
      <c r="O26" s="97" t="s">
        <v>76</v>
      </c>
      <c r="R26" s="101"/>
    </row>
    <row r="27" spans="1:19" ht="18">
      <c r="B27" s="148" t="s">
        <v>130</v>
      </c>
      <c r="C27" s="229">
        <f>C23</f>
        <v>6.9</v>
      </c>
      <c r="D27" s="229"/>
      <c r="E27" s="229"/>
      <c r="F27" s="229"/>
      <c r="G27" s="229">
        <f t="shared" si="6"/>
        <v>9.6999999999999993</v>
      </c>
      <c r="H27" s="229"/>
      <c r="I27" s="229"/>
      <c r="J27" s="229"/>
      <c r="K27" s="135">
        <f t="shared" si="7"/>
        <v>8.3000000000000007</v>
      </c>
      <c r="L27" s="136">
        <f t="shared" si="8"/>
        <v>11.6</v>
      </c>
      <c r="N27" s="69"/>
      <c r="O27" s="97"/>
      <c r="R27" s="101"/>
    </row>
    <row r="28" spans="1:19" ht="35.25" thickBot="1">
      <c r="B28" s="149" t="s">
        <v>117</v>
      </c>
      <c r="C28" s="214">
        <f>ROUND((C20+C26)*midisoirmercredi,1)</f>
        <v>226.8</v>
      </c>
      <c r="D28" s="214"/>
      <c r="E28" s="214"/>
      <c r="F28" s="214"/>
      <c r="G28" s="214">
        <f t="shared" si="6"/>
        <v>317.5</v>
      </c>
      <c r="H28" s="214"/>
      <c r="I28" s="214"/>
      <c r="J28" s="214"/>
      <c r="K28" s="133">
        <f t="shared" si="7"/>
        <v>272.2</v>
      </c>
      <c r="L28" s="134">
        <f t="shared" si="8"/>
        <v>381</v>
      </c>
      <c r="N28" s="69"/>
      <c r="O28" s="97"/>
      <c r="R28" s="101"/>
    </row>
    <row r="29" spans="1:19" ht="8.25" customHeight="1" thickBot="1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N29" s="69"/>
      <c r="O29" s="97"/>
      <c r="R29" s="101"/>
    </row>
    <row r="30" spans="1:19" ht="26.25" customHeight="1">
      <c r="B30" s="153" t="s">
        <v>1</v>
      </c>
      <c r="C30" s="231" t="s">
        <v>35</v>
      </c>
      <c r="D30" s="231"/>
      <c r="E30" s="231"/>
      <c r="F30" s="231"/>
      <c r="G30" s="231" t="s">
        <v>36</v>
      </c>
      <c r="H30" s="231"/>
      <c r="I30" s="231"/>
      <c r="J30" s="231"/>
      <c r="K30" s="154" t="s">
        <v>35</v>
      </c>
      <c r="L30" s="155" t="s">
        <v>36</v>
      </c>
      <c r="Q30" s="147">
        <f>C16*10/144</f>
        <v>3.8333333333333335</v>
      </c>
      <c r="R30" s="181" t="s">
        <v>127</v>
      </c>
    </row>
    <row r="31" spans="1:19" ht="18">
      <c r="A31" s="241" t="s">
        <v>118</v>
      </c>
      <c r="B31" s="148" t="s">
        <v>119</v>
      </c>
      <c r="C31" s="215">
        <f>ROUND((C16*10/144)*(1+Ponctuelpéri),1)</f>
        <v>5</v>
      </c>
      <c r="D31" s="216"/>
      <c r="E31" s="216"/>
      <c r="F31" s="217"/>
      <c r="G31" s="218">
        <f t="shared" ref="G31:G36" si="9">ROUND(+C31*(1+EcartMiniMaxi),1)</f>
        <v>7</v>
      </c>
      <c r="H31" s="218"/>
      <c r="I31" s="218"/>
      <c r="J31" s="218"/>
      <c r="K31" s="143">
        <f t="shared" ref="K31:K36" si="10">ROUND(C31*(1+Horscollectivité),1)</f>
        <v>6</v>
      </c>
      <c r="L31" s="130">
        <f t="shared" ref="L31:L36" si="11">ROUND(+G31*(1+Horscollectivité),1)</f>
        <v>8.4</v>
      </c>
      <c r="Q31" s="147">
        <f>Q30/2</f>
        <v>1.9166666666666667</v>
      </c>
      <c r="R31" s="182" t="s">
        <v>128</v>
      </c>
    </row>
    <row r="32" spans="1:19" ht="18">
      <c r="A32" s="242"/>
      <c r="B32" s="148" t="s">
        <v>3</v>
      </c>
      <c r="C32" s="218">
        <f>ROUND((C17*10/144)*(1+Ponctuelpéri),1)</f>
        <v>11.9</v>
      </c>
      <c r="D32" s="218"/>
      <c r="E32" s="218"/>
      <c r="F32" s="218"/>
      <c r="G32" s="218">
        <f t="shared" si="9"/>
        <v>16.7</v>
      </c>
      <c r="H32" s="218"/>
      <c r="I32" s="218"/>
      <c r="J32" s="218"/>
      <c r="K32" s="143">
        <f t="shared" si="10"/>
        <v>14.3</v>
      </c>
      <c r="L32" s="130">
        <f t="shared" si="11"/>
        <v>20</v>
      </c>
      <c r="Q32" s="183">
        <f>Q31*36/10</f>
        <v>6.9</v>
      </c>
      <c r="R32" s="11" t="s">
        <v>129</v>
      </c>
    </row>
    <row r="33" spans="1:25" ht="18">
      <c r="A33" s="242"/>
      <c r="B33" s="148" t="s">
        <v>4</v>
      </c>
      <c r="C33" s="218">
        <f>ROUND((C18*10/144)*(1+Ponctuelpéri),1)</f>
        <v>5.4</v>
      </c>
      <c r="D33" s="218"/>
      <c r="E33" s="218"/>
      <c r="F33" s="218"/>
      <c r="G33" s="218">
        <f t="shared" si="9"/>
        <v>7.6</v>
      </c>
      <c r="H33" s="218"/>
      <c r="I33" s="218"/>
      <c r="J33" s="218"/>
      <c r="K33" s="143">
        <f t="shared" si="10"/>
        <v>6.5</v>
      </c>
      <c r="L33" s="130">
        <f t="shared" si="11"/>
        <v>9.1</v>
      </c>
      <c r="O33" s="81"/>
      <c r="P33" s="81"/>
    </row>
    <row r="34" spans="1:25" ht="18">
      <c r="A34" s="242"/>
      <c r="B34" s="148" t="s">
        <v>5</v>
      </c>
      <c r="C34" s="218">
        <f>ROUND((C32+C33)*midisoir,1)</f>
        <v>16.399999999999999</v>
      </c>
      <c r="D34" s="218"/>
      <c r="E34" s="218"/>
      <c r="F34" s="218"/>
      <c r="G34" s="218">
        <f t="shared" si="9"/>
        <v>23</v>
      </c>
      <c r="H34" s="218"/>
      <c r="I34" s="218"/>
      <c r="J34" s="218"/>
      <c r="K34" s="143">
        <f t="shared" si="10"/>
        <v>19.7</v>
      </c>
      <c r="L34" s="130">
        <f t="shared" si="11"/>
        <v>27.6</v>
      </c>
      <c r="N34" s="146"/>
    </row>
    <row r="35" spans="1:25" ht="18" hidden="1">
      <c r="A35" s="243"/>
      <c r="B35" s="184" t="s">
        <v>108</v>
      </c>
      <c r="C35" s="244">
        <f>ROUND((C19*10/144)*(1+Ponctuelpéri),1)</f>
        <v>0</v>
      </c>
      <c r="D35" s="245"/>
      <c r="E35" s="245"/>
      <c r="F35" s="246"/>
      <c r="G35" s="237">
        <f t="shared" si="9"/>
        <v>0</v>
      </c>
      <c r="H35" s="237"/>
      <c r="I35" s="237"/>
      <c r="J35" s="237"/>
      <c r="K35" s="186">
        <f t="shared" si="10"/>
        <v>0</v>
      </c>
      <c r="L35" s="190">
        <f t="shared" si="11"/>
        <v>0</v>
      </c>
    </row>
    <row r="36" spans="1:25" ht="18">
      <c r="A36" s="241" t="s">
        <v>10</v>
      </c>
      <c r="B36" s="148" t="s">
        <v>131</v>
      </c>
      <c r="C36" s="215">
        <f>ROUND((C16*10/144/2)*(1+Ponctuelmercredi),1)</f>
        <v>2.5</v>
      </c>
      <c r="D36" s="216"/>
      <c r="E36" s="216"/>
      <c r="F36" s="217"/>
      <c r="G36" s="218">
        <f t="shared" si="9"/>
        <v>3.5</v>
      </c>
      <c r="H36" s="218"/>
      <c r="I36" s="218"/>
      <c r="J36" s="218"/>
      <c r="K36" s="143">
        <f t="shared" si="10"/>
        <v>3</v>
      </c>
      <c r="L36" s="130">
        <f t="shared" si="11"/>
        <v>4.2</v>
      </c>
    </row>
    <row r="37" spans="1:25" s="103" customFormat="1" ht="34.5">
      <c r="A37" s="242"/>
      <c r="B37" s="151" t="s">
        <v>123</v>
      </c>
      <c r="C37" s="229">
        <f>ROUND(C24*10/36*(1+Ponctuelmercredi),1)</f>
        <v>16.399999999999999</v>
      </c>
      <c r="D37" s="229"/>
      <c r="E37" s="229"/>
      <c r="F37" s="229"/>
      <c r="G37" s="218">
        <f t="shared" ref="G37:G39" si="12">ROUND(+C37*(1+EcartMiniMaxi),1)</f>
        <v>23</v>
      </c>
      <c r="H37" s="218"/>
      <c r="I37" s="218"/>
      <c r="J37" s="218"/>
      <c r="K37" s="143">
        <f t="shared" ref="K37:K39" si="13">ROUND(C37*(1+Horscollectivité),1)</f>
        <v>19.7</v>
      </c>
      <c r="L37" s="130">
        <f t="shared" ref="L37:L39" si="14">ROUND(+G37*(1+Horscollectivité),1)</f>
        <v>27.6</v>
      </c>
      <c r="M37" s="98"/>
      <c r="N37" s="70">
        <v>0.4</v>
      </c>
      <c r="O37" s="102" t="s">
        <v>78</v>
      </c>
      <c r="R37" s="101"/>
    </row>
    <row r="38" spans="1:25" s="103" customFormat="1" ht="34.5">
      <c r="A38" s="242"/>
      <c r="B38" s="151" t="s">
        <v>122</v>
      </c>
      <c r="C38" s="229">
        <f>ROUND(C25*10/36*(1+Ponctuelmercredi),1)</f>
        <v>18.2</v>
      </c>
      <c r="D38" s="229"/>
      <c r="E38" s="229"/>
      <c r="F38" s="229"/>
      <c r="G38" s="218">
        <f t="shared" si="12"/>
        <v>25.5</v>
      </c>
      <c r="H38" s="218"/>
      <c r="I38" s="218"/>
      <c r="J38" s="218"/>
      <c r="K38" s="143">
        <f t="shared" si="13"/>
        <v>21.8</v>
      </c>
      <c r="L38" s="130">
        <f t="shared" si="14"/>
        <v>30.6</v>
      </c>
      <c r="M38" s="98"/>
      <c r="N38" s="81"/>
      <c r="O38" s="104"/>
      <c r="R38" s="132"/>
    </row>
    <row r="39" spans="1:25" s="103" customFormat="1" ht="18">
      <c r="A39" s="242"/>
      <c r="B39" s="148" t="s">
        <v>2</v>
      </c>
      <c r="C39" s="218">
        <f>ROUND((C26*10/36)*(1+Ponctuelmercredi),1)</f>
        <v>20.5</v>
      </c>
      <c r="D39" s="218"/>
      <c r="E39" s="218"/>
      <c r="F39" s="218"/>
      <c r="G39" s="218">
        <f t="shared" si="12"/>
        <v>28.7</v>
      </c>
      <c r="H39" s="218"/>
      <c r="I39" s="218"/>
      <c r="J39" s="218"/>
      <c r="K39" s="143">
        <f t="shared" si="13"/>
        <v>24.6</v>
      </c>
      <c r="L39" s="130">
        <f t="shared" si="14"/>
        <v>34.4</v>
      </c>
      <c r="M39" s="98"/>
      <c r="N39" s="67">
        <v>0.2</v>
      </c>
      <c r="O39" s="102" t="s">
        <v>79</v>
      </c>
      <c r="R39" s="101"/>
    </row>
    <row r="40" spans="1:25" s="103" customFormat="1" ht="18.75" thickBot="1">
      <c r="A40" s="243"/>
      <c r="B40" s="152" t="s">
        <v>130</v>
      </c>
      <c r="C40" s="238">
        <f>C36</f>
        <v>2.5</v>
      </c>
      <c r="D40" s="239"/>
      <c r="E40" s="239"/>
      <c r="F40" s="240"/>
      <c r="G40" s="214">
        <f>ROUND(+C40*(1+EcartMiniMaxi),1)</f>
        <v>3.5</v>
      </c>
      <c r="H40" s="214"/>
      <c r="I40" s="214"/>
      <c r="J40" s="214"/>
      <c r="K40" s="144">
        <f>ROUND(C40*(1+Horscollectivité),1)</f>
        <v>3</v>
      </c>
      <c r="L40" s="131">
        <f>ROUND(+G40*(1+Horscollectivité),1)</f>
        <v>4.2</v>
      </c>
      <c r="M40" s="98"/>
      <c r="N40" s="67"/>
      <c r="O40" s="102"/>
      <c r="R40" s="101"/>
    </row>
    <row r="41" spans="1:25" ht="9.75" customHeight="1" thickBot="1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</row>
    <row r="42" spans="1:25" ht="23.25" customHeight="1">
      <c r="B42" s="161" t="s">
        <v>25</v>
      </c>
      <c r="C42" s="234" t="s">
        <v>35</v>
      </c>
      <c r="D42" s="234"/>
      <c r="E42" s="234"/>
      <c r="F42" s="234"/>
      <c r="G42" s="234" t="s">
        <v>36</v>
      </c>
      <c r="H42" s="234"/>
      <c r="I42" s="234"/>
      <c r="J42" s="234"/>
      <c r="K42" s="162" t="s">
        <v>35</v>
      </c>
      <c r="L42" s="163" t="s">
        <v>36</v>
      </c>
      <c r="N42" s="106"/>
      <c r="O42" s="107"/>
      <c r="P42" s="108"/>
      <c r="Q42" s="109"/>
      <c r="R42" s="108"/>
      <c r="S42" s="108"/>
      <c r="T42" s="108"/>
      <c r="U42" s="108"/>
      <c r="V42" s="108"/>
      <c r="W42" s="108"/>
      <c r="X42" s="108"/>
      <c r="Y42" s="108"/>
    </row>
    <row r="43" spans="1:25" ht="23.25" hidden="1" customHeight="1">
      <c r="B43" s="184" t="s">
        <v>112</v>
      </c>
      <c r="C43" s="237"/>
      <c r="D43" s="237"/>
      <c r="E43" s="237"/>
      <c r="F43" s="237"/>
      <c r="G43" s="237">
        <f>ROUND(+C43*(1+EcartMiniMaxi),1)</f>
        <v>0</v>
      </c>
      <c r="H43" s="237"/>
      <c r="I43" s="237"/>
      <c r="J43" s="237"/>
      <c r="K43" s="186">
        <f>ROUND(C43*(1+Horscollectivité),1)</f>
        <v>0</v>
      </c>
      <c r="L43" s="190">
        <f>ROUND(+G43*(1+Horscollectivité),1)</f>
        <v>0</v>
      </c>
      <c r="N43" s="106"/>
      <c r="O43" s="107"/>
      <c r="P43" s="108"/>
      <c r="Q43" s="109"/>
      <c r="R43" s="108"/>
      <c r="S43" s="108"/>
      <c r="T43" s="108"/>
      <c r="U43" s="108"/>
      <c r="V43" s="108"/>
      <c r="W43" s="108"/>
      <c r="X43" s="108"/>
      <c r="Y43" s="108"/>
    </row>
    <row r="44" spans="1:25" ht="21.75" customHeight="1">
      <c r="B44" s="148" t="s">
        <v>110</v>
      </c>
      <c r="C44" s="218">
        <f>ROUND(C46/5*(1+Ponctuelmercredi),1)</f>
        <v>21</v>
      </c>
      <c r="D44" s="218"/>
      <c r="E44" s="218"/>
      <c r="F44" s="218"/>
      <c r="G44" s="235">
        <f>ROUND(+C44*(1+EcartMiniMaxi),1)</f>
        <v>29.4</v>
      </c>
      <c r="H44" s="235"/>
      <c r="I44" s="235"/>
      <c r="J44" s="235"/>
      <c r="K44" s="143">
        <f>ROUND(C44*(1+Horscollectivité),1)</f>
        <v>25.2</v>
      </c>
      <c r="L44" s="130">
        <f>ROUND(+G44*(1+Horscollectivité),1)</f>
        <v>35.299999999999997</v>
      </c>
      <c r="N44" s="106"/>
      <c r="O44" s="107"/>
      <c r="P44" s="108"/>
      <c r="Q44" s="109"/>
      <c r="R44" s="108"/>
      <c r="S44" s="108"/>
      <c r="T44" s="108"/>
      <c r="U44" s="108"/>
      <c r="V44" s="108"/>
      <c r="W44" s="108"/>
      <c r="X44" s="108"/>
      <c r="Y44" s="108"/>
    </row>
    <row r="45" spans="1:25" ht="18">
      <c r="B45" s="148" t="s">
        <v>26</v>
      </c>
      <c r="C45" s="218">
        <f>C46/5*4</f>
        <v>64.64</v>
      </c>
      <c r="D45" s="218"/>
      <c r="E45" s="218"/>
      <c r="F45" s="218"/>
      <c r="G45" s="235">
        <f>ROUND(+C45*(1+EcartMiniMaxi),1)</f>
        <v>90.5</v>
      </c>
      <c r="H45" s="235"/>
      <c r="I45" s="235"/>
      <c r="J45" s="235"/>
      <c r="K45" s="143">
        <f>ROUND(C45*(1+Horscollectivité),1)</f>
        <v>77.599999999999994</v>
      </c>
      <c r="L45" s="130">
        <f>ROUND(+G45*(1+Horscollectivité),1)</f>
        <v>108.6</v>
      </c>
      <c r="M45" s="105"/>
      <c r="N45" s="106"/>
      <c r="O45" s="107"/>
      <c r="P45" s="108"/>
      <c r="Q45" s="110"/>
      <c r="R45" s="108"/>
      <c r="S45" s="108"/>
      <c r="T45" s="108"/>
      <c r="U45" s="108"/>
      <c r="V45" s="108"/>
      <c r="W45" s="108"/>
      <c r="X45" s="108"/>
      <c r="Y45" s="108"/>
    </row>
    <row r="46" spans="1:25" ht="18">
      <c r="B46" s="148" t="s">
        <v>27</v>
      </c>
      <c r="C46" s="229">
        <f>ROUND(R23*(1+Augmentationgénérale),1)</f>
        <v>80.8</v>
      </c>
      <c r="D46" s="229"/>
      <c r="E46" s="229"/>
      <c r="F46" s="229"/>
      <c r="G46" s="235">
        <f>ROUND(+C46*(1+EcartMiniMaxi),1)</f>
        <v>113.1</v>
      </c>
      <c r="H46" s="235"/>
      <c r="I46" s="235"/>
      <c r="J46" s="235"/>
      <c r="K46" s="143">
        <f>ROUND(C46*(1+Horscollectivité),1)</f>
        <v>97</v>
      </c>
      <c r="L46" s="130">
        <f>ROUND(+G46*(1+Horscollectivité),1)</f>
        <v>135.69999999999999</v>
      </c>
      <c r="M46" s="105"/>
      <c r="N46" s="106"/>
      <c r="O46" s="107"/>
      <c r="P46" s="108"/>
      <c r="Q46" s="110"/>
      <c r="R46" s="108"/>
      <c r="S46" s="108"/>
      <c r="T46" s="108"/>
      <c r="U46" s="108"/>
      <c r="V46" s="108"/>
      <c r="W46" s="108"/>
      <c r="X46" s="108"/>
      <c r="Y46" s="108"/>
    </row>
    <row r="47" spans="1:25" ht="18.75" hidden="1" thickBot="1">
      <c r="B47" s="187" t="s">
        <v>111</v>
      </c>
      <c r="C47" s="236">
        <f>C43</f>
        <v>0</v>
      </c>
      <c r="D47" s="236"/>
      <c r="E47" s="236"/>
      <c r="F47" s="236"/>
      <c r="G47" s="236">
        <f>ROUND(+C47*(1+EcartMiniMaxi),1)</f>
        <v>0</v>
      </c>
      <c r="H47" s="236"/>
      <c r="I47" s="236"/>
      <c r="J47" s="236"/>
      <c r="K47" s="188">
        <f>ROUND(C47*(1+Horscollectivité),1)</f>
        <v>0</v>
      </c>
      <c r="L47" s="189">
        <f>ROUND(+G47*(1+Horscollectivité),1)</f>
        <v>0</v>
      </c>
      <c r="M47" s="105"/>
      <c r="N47" s="106"/>
      <c r="O47" s="107"/>
      <c r="P47" s="108"/>
      <c r="Q47" s="110"/>
      <c r="R47" s="108"/>
      <c r="S47" s="108"/>
      <c r="T47" s="108"/>
      <c r="U47" s="108"/>
      <c r="V47" s="108"/>
      <c r="W47" s="108"/>
      <c r="X47" s="108"/>
      <c r="Y47" s="108"/>
    </row>
    <row r="48" spans="1:25" ht="17.25">
      <c r="B48" s="111"/>
      <c r="C48" s="112"/>
      <c r="D48" s="112"/>
      <c r="E48" s="112"/>
      <c r="F48" s="112"/>
      <c r="G48" s="112"/>
      <c r="H48" s="112"/>
      <c r="I48" s="112"/>
      <c r="J48" s="112"/>
      <c r="K48" s="3"/>
      <c r="L48" s="113"/>
      <c r="M48" s="114"/>
    </row>
    <row r="49" spans="2:25" ht="17.25">
      <c r="B49" s="115" t="s">
        <v>31</v>
      </c>
      <c r="C49" s="116"/>
      <c r="D49" s="116"/>
      <c r="E49" s="116" t="s">
        <v>132</v>
      </c>
      <c r="F49" s="116"/>
      <c r="G49" s="116"/>
      <c r="H49" s="116"/>
      <c r="I49" s="116"/>
      <c r="J49" s="116"/>
      <c r="K49" s="3"/>
      <c r="L49" s="117" t="s">
        <v>85</v>
      </c>
      <c r="M49" s="3"/>
    </row>
    <row r="50" spans="2:25" ht="17.25">
      <c r="B50" s="118" t="s">
        <v>32</v>
      </c>
      <c r="C50" s="116"/>
      <c r="D50" s="116"/>
      <c r="E50" s="116"/>
      <c r="F50" s="116"/>
      <c r="G50" s="116"/>
      <c r="H50" s="116"/>
      <c r="I50" s="116"/>
      <c r="J50" s="116"/>
      <c r="K50" s="3"/>
      <c r="L50" s="3"/>
      <c r="M50" s="3"/>
    </row>
    <row r="51" spans="2:25" ht="17.25">
      <c r="B51" s="118" t="s">
        <v>33</v>
      </c>
      <c r="C51" s="116"/>
      <c r="D51" s="116"/>
      <c r="E51" s="116"/>
      <c r="F51" s="116"/>
      <c r="G51" s="116"/>
      <c r="H51" s="116"/>
      <c r="I51" s="116"/>
      <c r="J51" s="116"/>
      <c r="K51" s="87"/>
      <c r="L51" s="3"/>
      <c r="M51" s="3"/>
    </row>
    <row r="52" spans="2:25" ht="17.25">
      <c r="B52" s="118" t="s">
        <v>34</v>
      </c>
      <c r="C52" s="116"/>
      <c r="D52" s="116"/>
      <c r="E52" s="116"/>
      <c r="F52" s="116"/>
      <c r="G52" s="116"/>
      <c r="H52" s="116"/>
      <c r="I52" s="116"/>
      <c r="J52" s="116"/>
      <c r="K52" s="87"/>
      <c r="L52" s="3"/>
      <c r="M52" s="3"/>
    </row>
    <row r="53" spans="2:25" ht="17.25">
      <c r="B53" s="119"/>
      <c r="C53" s="120"/>
      <c r="D53" s="112"/>
      <c r="E53" s="112"/>
      <c r="F53" s="112"/>
      <c r="G53" s="112"/>
      <c r="H53" s="112"/>
      <c r="I53" s="112"/>
      <c r="J53" s="112"/>
      <c r="K53" s="121"/>
      <c r="L53" s="121"/>
      <c r="M53" s="105"/>
      <c r="N53" s="106"/>
      <c r="O53" s="107"/>
      <c r="P53" s="108"/>
      <c r="Q53" s="110"/>
      <c r="R53" s="108"/>
      <c r="S53" s="108"/>
      <c r="T53" s="108"/>
      <c r="U53" s="108"/>
      <c r="V53" s="108"/>
      <c r="W53" s="108"/>
      <c r="X53" s="108"/>
      <c r="Y53" s="108"/>
    </row>
    <row r="54" spans="2:25" ht="17.25">
      <c r="B54" s="122" t="s">
        <v>24</v>
      </c>
      <c r="C54" s="115"/>
      <c r="D54" s="115"/>
      <c r="E54" s="115"/>
      <c r="F54" s="115"/>
      <c r="G54" s="115"/>
      <c r="H54" s="115"/>
      <c r="I54" s="115"/>
      <c r="J54" s="115"/>
      <c r="K54" s="116"/>
      <c r="L54" s="123"/>
    </row>
    <row r="55" spans="2:25" ht="17.25">
      <c r="B55" s="122"/>
      <c r="C55" s="115"/>
      <c r="D55" s="115"/>
      <c r="E55" s="115"/>
      <c r="F55" s="115"/>
      <c r="G55" s="115"/>
      <c r="H55" s="115"/>
      <c r="I55" s="115"/>
      <c r="J55" s="115"/>
      <c r="K55" s="116"/>
      <c r="L55" s="123"/>
    </row>
    <row r="56" spans="2:25" ht="17.25">
      <c r="B56" s="124" t="s">
        <v>41</v>
      </c>
      <c r="C56" s="115"/>
      <c r="D56" s="115"/>
      <c r="E56" s="115"/>
      <c r="G56" s="115"/>
      <c r="H56" s="115"/>
      <c r="I56" s="115"/>
      <c r="J56" s="115"/>
      <c r="K56" s="126" t="s">
        <v>28</v>
      </c>
      <c r="L56" s="123"/>
    </row>
    <row r="57" spans="2:25" ht="17.25">
      <c r="B57" s="122"/>
      <c r="C57" s="115"/>
      <c r="D57" s="115"/>
      <c r="E57" s="115"/>
      <c r="G57" s="115"/>
      <c r="H57" s="115"/>
      <c r="I57" s="115"/>
      <c r="J57" s="115"/>
      <c r="K57" s="126" t="s">
        <v>29</v>
      </c>
      <c r="L57" s="123"/>
    </row>
    <row r="58" spans="2:25" ht="17.25">
      <c r="B58" s="115"/>
      <c r="C58" s="115"/>
      <c r="D58" s="115"/>
      <c r="E58" s="115"/>
      <c r="F58" s="115"/>
      <c r="G58" s="115"/>
      <c r="H58" s="115"/>
      <c r="I58" s="115"/>
      <c r="J58" s="115"/>
      <c r="K58" s="127"/>
      <c r="L58" s="123"/>
    </row>
    <row r="59" spans="2:25" ht="17.25">
      <c r="B59" s="115"/>
      <c r="C59" s="115"/>
      <c r="D59" s="115"/>
      <c r="E59" s="115"/>
      <c r="F59" s="115"/>
      <c r="G59" s="115"/>
      <c r="H59" s="115"/>
      <c r="I59" s="115"/>
      <c r="J59" s="115"/>
      <c r="K59" s="127"/>
      <c r="L59" s="123"/>
    </row>
    <row r="60" spans="2:25">
      <c r="C60" s="3"/>
      <c r="D60" s="3"/>
      <c r="E60" s="3"/>
      <c r="F60" s="3"/>
      <c r="G60" s="3"/>
      <c r="H60" s="3"/>
      <c r="I60" s="3"/>
      <c r="J60" s="3"/>
    </row>
    <row r="61" spans="2:25">
      <c r="C61" s="3"/>
      <c r="D61" s="3"/>
      <c r="E61" s="3"/>
      <c r="F61" s="3"/>
      <c r="G61" s="3"/>
      <c r="H61" s="232"/>
      <c r="I61" s="232"/>
      <c r="J61" s="232"/>
    </row>
    <row r="62" spans="2:25">
      <c r="C62" s="3"/>
      <c r="D62" s="3"/>
      <c r="E62" s="3"/>
      <c r="F62" s="3"/>
      <c r="G62" s="3"/>
      <c r="H62" s="233"/>
      <c r="I62" s="233"/>
      <c r="J62" s="233"/>
    </row>
    <row r="63" spans="2:25">
      <c r="C63" s="3"/>
      <c r="D63" s="3"/>
      <c r="E63" s="3"/>
      <c r="F63" s="3"/>
      <c r="G63" s="3"/>
      <c r="H63" s="3"/>
      <c r="I63" s="3"/>
      <c r="J63" s="3"/>
    </row>
    <row r="64" spans="2:25">
      <c r="B64" s="66"/>
      <c r="C64" s="3"/>
      <c r="D64" s="3"/>
      <c r="E64" s="3"/>
      <c r="F64" s="3"/>
      <c r="G64" s="3"/>
      <c r="H64" s="3"/>
      <c r="I64" s="3"/>
      <c r="J64" s="3"/>
    </row>
    <row r="65" spans="2:2">
      <c r="B65" s="129"/>
    </row>
  </sheetData>
  <mergeCells count="69">
    <mergeCell ref="C40:F40"/>
    <mergeCell ref="G40:J40"/>
    <mergeCell ref="A36:A40"/>
    <mergeCell ref="A31:A35"/>
    <mergeCell ref="C31:F31"/>
    <mergeCell ref="G31:J31"/>
    <mergeCell ref="C35:F35"/>
    <mergeCell ref="G35:J35"/>
    <mergeCell ref="C34:F34"/>
    <mergeCell ref="G34:J34"/>
    <mergeCell ref="C39:F39"/>
    <mergeCell ref="G39:J39"/>
    <mergeCell ref="C32:F32"/>
    <mergeCell ref="G32:J32"/>
    <mergeCell ref="C33:F33"/>
    <mergeCell ref="G33:J33"/>
    <mergeCell ref="H61:J61"/>
    <mergeCell ref="H62:J62"/>
    <mergeCell ref="C42:F42"/>
    <mergeCell ref="G42:J42"/>
    <mergeCell ref="C45:F45"/>
    <mergeCell ref="G45:J45"/>
    <mergeCell ref="C46:F46"/>
    <mergeCell ref="G46:J46"/>
    <mergeCell ref="G47:J47"/>
    <mergeCell ref="C43:F43"/>
    <mergeCell ref="G43:J43"/>
    <mergeCell ref="C44:F44"/>
    <mergeCell ref="G44:J44"/>
    <mergeCell ref="C47:F47"/>
    <mergeCell ref="C38:F38"/>
    <mergeCell ref="G38:J38"/>
    <mergeCell ref="C26:F26"/>
    <mergeCell ref="G26:J26"/>
    <mergeCell ref="C13:J13"/>
    <mergeCell ref="C36:F36"/>
    <mergeCell ref="G36:J36"/>
    <mergeCell ref="C30:F30"/>
    <mergeCell ref="G30:J30"/>
    <mergeCell ref="C37:F37"/>
    <mergeCell ref="G37:J37"/>
    <mergeCell ref="G23:J23"/>
    <mergeCell ref="C23:F23"/>
    <mergeCell ref="C27:F27"/>
    <mergeCell ref="G27:J27"/>
    <mergeCell ref="K13:L13"/>
    <mergeCell ref="K14:L14"/>
    <mergeCell ref="C22:F22"/>
    <mergeCell ref="G22:J22"/>
    <mergeCell ref="C28:F28"/>
    <mergeCell ref="G28:J28"/>
    <mergeCell ref="C24:F24"/>
    <mergeCell ref="C25:F25"/>
    <mergeCell ref="G24:J24"/>
    <mergeCell ref="G25:J25"/>
    <mergeCell ref="K16:L17"/>
    <mergeCell ref="K19:L20"/>
    <mergeCell ref="K18:L18"/>
    <mergeCell ref="B2:K2"/>
    <mergeCell ref="B3:K3"/>
    <mergeCell ref="B5:K5"/>
    <mergeCell ref="B6:K6"/>
    <mergeCell ref="B9:L9"/>
    <mergeCell ref="B8:L8"/>
    <mergeCell ref="B14:B15"/>
    <mergeCell ref="C14:D14"/>
    <mergeCell ref="E14:F14"/>
    <mergeCell ref="G14:H14"/>
    <mergeCell ref="I14:J1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Y40"/>
  <sheetViews>
    <sheetView showGridLines="0" tabSelected="1" topLeftCell="F1" zoomScaleNormal="100" workbookViewId="0">
      <selection activeCell="S7" sqref="S7"/>
    </sheetView>
  </sheetViews>
  <sheetFormatPr baseColWidth="10" defaultColWidth="0.28515625" defaultRowHeight="12.75"/>
  <cols>
    <col min="1" max="1" width="13.42578125" style="3" hidden="1" customWidth="1"/>
    <col min="2" max="2" width="4.85546875" style="3" hidden="1" customWidth="1"/>
    <col min="3" max="3" width="9.28515625" style="3" hidden="1" customWidth="1"/>
    <col min="4" max="4" width="9.28515625" style="4" hidden="1" customWidth="1"/>
    <col min="5" max="5" width="9.5703125" style="4" hidden="1" customWidth="1"/>
    <col min="6" max="6" width="57.140625" style="3" bestFit="1" customWidth="1"/>
    <col min="7" max="7" width="9.28515625" style="3" bestFit="1" customWidth="1"/>
    <col min="8" max="8" width="13.42578125" style="3" bestFit="1" customWidth="1"/>
    <col min="9" max="9" width="9.28515625" style="3" bestFit="1" customWidth="1"/>
    <col min="10" max="10" width="8.28515625" style="3" bestFit="1" customWidth="1"/>
    <col min="11" max="11" width="28.140625" style="3" bestFit="1" customWidth="1"/>
    <col min="12" max="12" width="33.42578125" style="3" bestFit="1" customWidth="1"/>
    <col min="13" max="13" width="7" style="3" bestFit="1" customWidth="1"/>
    <col min="14" max="14" width="2.42578125" style="3" customWidth="1"/>
    <col min="15" max="16" width="5.140625" style="3" customWidth="1"/>
    <col min="17" max="17" width="2.42578125" style="3" customWidth="1"/>
    <col min="18" max="18" width="2.42578125" style="3" hidden="1" customWidth="1"/>
    <col min="19" max="19" width="37.42578125" style="3" bestFit="1" customWidth="1"/>
    <col min="20" max="25" width="1" style="3" hidden="1" customWidth="1"/>
    <col min="26" max="120" width="0" style="3" hidden="1" customWidth="1"/>
    <col min="121" max="16384" width="0.28515625" style="3"/>
  </cols>
  <sheetData>
    <row r="1" spans="3:129" ht="15.75">
      <c r="F1" s="5" t="s">
        <v>11</v>
      </c>
      <c r="G1" s="6"/>
      <c r="H1" s="5"/>
      <c r="I1" s="61">
        <f>QFplancher</f>
        <v>400</v>
      </c>
      <c r="J1" s="62">
        <f>QFplafond</f>
        <v>2500</v>
      </c>
      <c r="K1" s="64" t="s">
        <v>89</v>
      </c>
      <c r="L1" s="7"/>
    </row>
    <row r="2" spans="3:129">
      <c r="I2" s="62">
        <f>J1-I1</f>
        <v>2100</v>
      </c>
      <c r="J2" s="62"/>
      <c r="K2" s="11" t="s">
        <v>88</v>
      </c>
    </row>
    <row r="4" spans="3:129" ht="15.75">
      <c r="F4" s="13" t="s">
        <v>40</v>
      </c>
      <c r="L4" s="11"/>
    </row>
    <row r="5" spans="3:129">
      <c r="F5" s="14">
        <v>1200</v>
      </c>
      <c r="L5" s="11"/>
    </row>
    <row r="7" spans="3:129" ht="13.5" thickBot="1"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</row>
    <row r="8" spans="3:129" ht="16.5" thickBot="1">
      <c r="F8" s="201" t="s">
        <v>86</v>
      </c>
      <c r="G8" s="247" t="s">
        <v>12</v>
      </c>
      <c r="H8" s="248"/>
      <c r="I8" s="248"/>
      <c r="J8" s="249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</row>
    <row r="9" spans="3:129" ht="16.5" thickBot="1">
      <c r="C9" s="56" t="s">
        <v>35</v>
      </c>
      <c r="D9" s="4" t="s">
        <v>36</v>
      </c>
      <c r="F9" s="202"/>
      <c r="G9" s="54" t="s">
        <v>13</v>
      </c>
      <c r="H9" s="54" t="s">
        <v>14</v>
      </c>
      <c r="I9" s="55" t="s">
        <v>15</v>
      </c>
      <c r="J9" s="54" t="s">
        <v>16</v>
      </c>
      <c r="K9" s="8"/>
      <c r="L9" s="9" t="s">
        <v>17</v>
      </c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</row>
    <row r="10" spans="3:129" ht="17.25">
      <c r="C10" s="198">
        <v>62.6</v>
      </c>
      <c r="D10" s="199">
        <v>87.6</v>
      </c>
      <c r="E10" s="4">
        <f>D10-C10</f>
        <v>24.999999999999993</v>
      </c>
      <c r="F10" s="148" t="s">
        <v>119</v>
      </c>
      <c r="G10" s="65">
        <f>ROUND(IF($F$5&gt;$J$1,D10,IF($F$5&lt;$I$1,C10,C10+ROUND(E10/$I$2*($F$5-$I$1),2))),2)</f>
        <v>72.12</v>
      </c>
      <c r="H10" s="63">
        <f>ROUND(G10/4*3,2)</f>
        <v>54.09</v>
      </c>
      <c r="I10" s="63">
        <f>ROUND(G10/4*2*1.1,2)</f>
        <v>39.67</v>
      </c>
      <c r="J10" s="63">
        <f>ROUND(G10/4*1.15,2)</f>
        <v>20.73</v>
      </c>
      <c r="L10" s="3" t="s">
        <v>18</v>
      </c>
      <c r="M10" s="10" t="s">
        <v>19</v>
      </c>
      <c r="S10" s="74" t="s">
        <v>91</v>
      </c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</row>
    <row r="11" spans="3:129" ht="17.25">
      <c r="C11" s="198">
        <v>149.9</v>
      </c>
      <c r="D11" s="199">
        <v>209.9</v>
      </c>
      <c r="E11" s="4">
        <f t="shared" ref="E11:E12" si="0">D11-C11</f>
        <v>60</v>
      </c>
      <c r="F11" s="148" t="s">
        <v>103</v>
      </c>
      <c r="G11" s="58">
        <f>ROUND(IF($F$5&gt;$J$1,D11,IF($F$5&lt;$I$1,C11,C11+ROUND(E11/$I$2*($F$5-$I$1),2))),2)</f>
        <v>172.76</v>
      </c>
      <c r="H11" s="57">
        <f t="shared" ref="H11:H12" si="1">ROUND(G11/4*3,2)</f>
        <v>129.57</v>
      </c>
      <c r="I11" s="58">
        <f t="shared" ref="I11:I12" si="2">ROUND(G11/4*2*1.1,2)</f>
        <v>95.02</v>
      </c>
      <c r="J11" s="59">
        <f t="shared" ref="J11:J12" si="3">ROUND(G11/4*1.15,2)</f>
        <v>49.67</v>
      </c>
      <c r="L11" s="11" t="s">
        <v>38</v>
      </c>
      <c r="M11" s="10" t="s">
        <v>20</v>
      </c>
      <c r="S11" s="74" t="s">
        <v>91</v>
      </c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</row>
    <row r="12" spans="3:129" ht="17.25">
      <c r="C12" s="198">
        <v>67.2</v>
      </c>
      <c r="D12" s="199">
        <v>94.1</v>
      </c>
      <c r="E12" s="4">
        <f t="shared" si="0"/>
        <v>26.899999999999991</v>
      </c>
      <c r="F12" s="148" t="s">
        <v>109</v>
      </c>
      <c r="G12" s="58">
        <f>IF($F$5&gt;$J$1,D12,IF($F$5&lt;$I$1,C12,C12+ROUND(E12/$I$2*($F$5-$I$1),2)))</f>
        <v>77.45</v>
      </c>
      <c r="H12" s="57">
        <f t="shared" si="1"/>
        <v>58.09</v>
      </c>
      <c r="I12" s="58">
        <f t="shared" si="2"/>
        <v>42.6</v>
      </c>
      <c r="J12" s="59">
        <f t="shared" si="3"/>
        <v>22.27</v>
      </c>
      <c r="L12" s="11" t="s">
        <v>39</v>
      </c>
      <c r="M12" s="12">
        <v>-0.15</v>
      </c>
      <c r="S12" s="74" t="s">
        <v>90</v>
      </c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</row>
    <row r="13" spans="3:129" s="100" customFormat="1" ht="18" thickBot="1">
      <c r="C13" s="200">
        <v>206.2</v>
      </c>
      <c r="D13" s="200">
        <v>288.7</v>
      </c>
      <c r="E13" s="172">
        <f t="shared" ref="E13" si="4">D13-C13</f>
        <v>82.5</v>
      </c>
      <c r="F13" s="149" t="s">
        <v>133</v>
      </c>
      <c r="G13" s="173">
        <f>ROUND(IF($F$5&gt;$J$1,D13,IF($F$5&lt;$I$1,C13,C13+ROUND(E13/$I$2*($F$5-$I$1),2))),2)</f>
        <v>237.63</v>
      </c>
      <c r="H13" s="174">
        <f>ROUND(G13/4*3,2)</f>
        <v>178.22</v>
      </c>
      <c r="I13" s="174">
        <f>ROUND(G13/4*2*1.1,2)</f>
        <v>130.69999999999999</v>
      </c>
      <c r="J13" s="174">
        <f>ROUND(G13/4*1.15,2)</f>
        <v>68.319999999999993</v>
      </c>
      <c r="L13" s="175" t="s">
        <v>21</v>
      </c>
      <c r="S13" s="176" t="s">
        <v>90</v>
      </c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176"/>
      <c r="DY13" s="176"/>
    </row>
    <row r="14" spans="3:129" ht="13.5" thickBot="1">
      <c r="C14" s="56"/>
      <c r="F14" s="60"/>
      <c r="G14" s="60"/>
      <c r="H14" s="60"/>
      <c r="I14" s="60"/>
      <c r="J14" s="60"/>
      <c r="L14" s="9"/>
      <c r="S14" s="74" t="s">
        <v>91</v>
      </c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</row>
    <row r="15" spans="3:129" ht="18" thickBot="1">
      <c r="C15" s="56"/>
      <c r="F15" s="156" t="s">
        <v>87</v>
      </c>
      <c r="G15" s="177"/>
      <c r="H15" s="60"/>
      <c r="I15" s="60"/>
      <c r="J15" s="60"/>
      <c r="L15" s="3" t="s">
        <v>22</v>
      </c>
      <c r="M15" s="10" t="s">
        <v>23</v>
      </c>
      <c r="S15" s="74" t="s">
        <v>92</v>
      </c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</row>
    <row r="16" spans="3:129" ht="17.25">
      <c r="C16" s="199">
        <v>7.8</v>
      </c>
      <c r="D16" s="199">
        <v>10.9</v>
      </c>
      <c r="E16" s="4">
        <f>D16-C16</f>
        <v>3.1000000000000005</v>
      </c>
      <c r="F16" s="148" t="s">
        <v>112</v>
      </c>
      <c r="G16" s="178">
        <f>ROUND(IF($F$5&gt;$J$1,D16,IF($F$5&lt;$I$1,C16,C16+ROUND(E16/$I$2*($F$5-$I$1),2))),2)</f>
        <v>8.98</v>
      </c>
      <c r="H16" s="60"/>
      <c r="I16" s="60"/>
      <c r="J16" s="60"/>
      <c r="S16" s="74" t="s">
        <v>91</v>
      </c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</row>
    <row r="17" spans="3:129" ht="31.5">
      <c r="C17" s="199">
        <v>47.7</v>
      </c>
      <c r="D17" s="199">
        <v>66.8</v>
      </c>
      <c r="E17" s="4">
        <f>D17-C17</f>
        <v>19.099999999999994</v>
      </c>
      <c r="F17" s="151" t="s">
        <v>123</v>
      </c>
      <c r="G17" s="179">
        <f>ROUND(IF($F$5&gt;$J$1,D17,IF($F$5&lt;$I$1,C17,C17+ROUND(E17/$I$2*($F$5-$I$1),2))),2)</f>
        <v>54.98</v>
      </c>
      <c r="H17" s="60"/>
      <c r="I17" s="60"/>
      <c r="J17" s="60"/>
      <c r="S17" s="74" t="s">
        <v>91</v>
      </c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</row>
    <row r="18" spans="3:129" ht="31.5">
      <c r="C18" s="199">
        <v>52.7</v>
      </c>
      <c r="D18" s="199">
        <v>73.8</v>
      </c>
      <c r="E18" s="4">
        <f>D18-C18</f>
        <v>21.099999999999994</v>
      </c>
      <c r="F18" s="151" t="s">
        <v>122</v>
      </c>
      <c r="G18" s="179">
        <f>ROUND(IF($F$5&gt;$J$1,D18,IF($F$5&lt;$I$1,C18,C18+ROUND(E18/$I$2*($F$5-$I$1),2))),2)</f>
        <v>60.74</v>
      </c>
      <c r="H18" s="60"/>
      <c r="I18" s="60"/>
      <c r="J18" s="60"/>
      <c r="S18" s="74" t="s">
        <v>91</v>
      </c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</row>
    <row r="19" spans="3:129" ht="17.25">
      <c r="C19" s="199">
        <v>59.6</v>
      </c>
      <c r="D19" s="199">
        <v>83.4</v>
      </c>
      <c r="E19" s="4">
        <f>D19-C19</f>
        <v>23.800000000000004</v>
      </c>
      <c r="F19" s="148" t="s">
        <v>10</v>
      </c>
      <c r="G19" s="179">
        <f>ROUND(IF($F$5&gt;$J$1,D19,IF($F$5&lt;$I$1,C19,C19+ROUND(E19/$I$2*($F$5-$I$1),2))),2)</f>
        <v>68.67</v>
      </c>
      <c r="H19" s="60"/>
      <c r="I19" s="60"/>
      <c r="J19" s="60"/>
      <c r="S19" s="74" t="s">
        <v>91</v>
      </c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</row>
    <row r="20" spans="3:129" ht="17.25">
      <c r="C20" s="199">
        <v>7.8</v>
      </c>
      <c r="D20" s="199">
        <v>10.9</v>
      </c>
      <c r="E20" s="4">
        <f>D20-C20</f>
        <v>3.1000000000000005</v>
      </c>
      <c r="F20" s="148" t="s">
        <v>116</v>
      </c>
      <c r="G20" s="179">
        <f>ROUND(IF($F$5&gt;$J$1,D20,IF($F$5&lt;$I$1,C20,C20+ROUND(E20/$I$2*($F$5-$I$1),2))),2)</f>
        <v>8.98</v>
      </c>
      <c r="H20" s="60"/>
      <c r="I20" s="60"/>
      <c r="J20" s="60"/>
      <c r="S20" s="74" t="s">
        <v>91</v>
      </c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</row>
    <row r="21" spans="3:129" ht="18" thickBot="1">
      <c r="C21" s="199">
        <v>252.5</v>
      </c>
      <c r="D21" s="199">
        <v>353.5</v>
      </c>
      <c r="E21" s="4">
        <f>D21-C21</f>
        <v>101</v>
      </c>
      <c r="F21" s="149" t="s">
        <v>117</v>
      </c>
      <c r="G21" s="180">
        <f>ROUND(IF($F$5&gt;$J$1,D21,IF($F$5&lt;$I$1,C21,C21+ROUND(E21/$I$2*($F$5-$I$1),2))),2)</f>
        <v>290.98</v>
      </c>
      <c r="H21" s="60"/>
      <c r="I21" s="60"/>
      <c r="J21" s="60"/>
      <c r="S21" s="74" t="s">
        <v>91</v>
      </c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</row>
    <row r="22" spans="3:129" ht="13.5" thickBot="1">
      <c r="C22" s="56"/>
      <c r="F22" s="108"/>
      <c r="G22" s="108"/>
      <c r="H22" s="60"/>
      <c r="I22" s="60"/>
      <c r="J22" s="60"/>
      <c r="Q22" s="11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</row>
    <row r="23" spans="3:129" ht="18" thickBot="1">
      <c r="C23" s="56"/>
      <c r="F23" s="153" t="s">
        <v>1</v>
      </c>
      <c r="G23" s="177"/>
      <c r="H23" s="60"/>
      <c r="I23" s="60"/>
      <c r="J23" s="60"/>
      <c r="S23" s="74" t="s">
        <v>91</v>
      </c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</row>
    <row r="24" spans="3:129" ht="17.25">
      <c r="C24" s="199">
        <v>5.7</v>
      </c>
      <c r="D24" s="199">
        <v>8</v>
      </c>
      <c r="E24" s="4">
        <f t="shared" ref="E24:E33" si="5">D24-C24</f>
        <v>2.2999999999999998</v>
      </c>
      <c r="F24" s="148" t="s">
        <v>119</v>
      </c>
      <c r="G24" s="191">
        <f>ROUND(IF($F$5&gt;$J$1,D24,IF($F$5&lt;$I$1,C24,C24+ROUND(E24/$I$2*($F$5-$I$1),2))),2)</f>
        <v>6.58</v>
      </c>
      <c r="H24" s="250" t="s">
        <v>118</v>
      </c>
      <c r="I24" s="60"/>
      <c r="J24" s="60"/>
      <c r="S24" s="74" t="s">
        <v>91</v>
      </c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</row>
    <row r="25" spans="3:129" ht="26.25" customHeight="1">
      <c r="C25" s="199">
        <v>13.5</v>
      </c>
      <c r="D25" s="199">
        <v>18.899999999999999</v>
      </c>
      <c r="E25" s="4">
        <f t="shared" si="5"/>
        <v>5.3999999999999986</v>
      </c>
      <c r="F25" s="148" t="s">
        <v>3</v>
      </c>
      <c r="G25" s="192">
        <f>ROUND(IF($F$5&gt;$J$1,D25,IF($F$5&lt;$I$1,C25,C25+ROUND(E25/$I$2*($F$5-$I$1),2))),2)</f>
        <v>15.56</v>
      </c>
      <c r="H25" s="251"/>
      <c r="I25" s="60"/>
      <c r="J25" s="60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</row>
    <row r="26" spans="3:129" ht="17.25">
      <c r="C26" s="199">
        <v>6.1</v>
      </c>
      <c r="D26" s="199">
        <v>8.5</v>
      </c>
      <c r="E26" s="4">
        <f t="shared" si="5"/>
        <v>2.4000000000000004</v>
      </c>
      <c r="F26" s="148" t="s">
        <v>4</v>
      </c>
      <c r="G26" s="192">
        <f>ROUND(IF($F$5&gt;$J$1,D26,IF($F$5&lt;$I$1,C26,C26+ROUND(E26/$I$2*($F$5-$I$1),2))),2)</f>
        <v>7.01</v>
      </c>
      <c r="H26" s="251"/>
    </row>
    <row r="27" spans="3:129" ht="12.75" customHeight="1">
      <c r="C27" s="199">
        <v>18.600000000000001</v>
      </c>
      <c r="D27" s="199">
        <v>26</v>
      </c>
      <c r="E27" s="4">
        <f t="shared" si="5"/>
        <v>7.3999999999999986</v>
      </c>
      <c r="F27" s="148" t="s">
        <v>5</v>
      </c>
      <c r="G27" s="192">
        <f>ROUND(IF($F$5&gt;$J$1,D27,IF($F$5&lt;$I$1,C27,C27+ROUND(E27/$I$2*($F$5-$I$1),2))),2)</f>
        <v>21.42</v>
      </c>
      <c r="H27" s="252"/>
    </row>
    <row r="28" spans="3:129" ht="15" hidden="1" customHeight="1">
      <c r="C28" s="199">
        <v>0</v>
      </c>
      <c r="D28" s="199">
        <v>0</v>
      </c>
      <c r="E28" s="4">
        <f t="shared" si="5"/>
        <v>0</v>
      </c>
      <c r="F28" s="148" t="s">
        <v>108</v>
      </c>
      <c r="G28" s="179">
        <f t="shared" ref="G28:G33" si="6">ROUND(IF($F$5&gt;$J$1,D28,IF($F$5&lt;$I$1,C28,C28+ROUND(E28/$I$2*($F$5-$I$1),2))),2)</f>
        <v>0</v>
      </c>
    </row>
    <row r="29" spans="3:129" ht="17.25">
      <c r="C29" s="199">
        <v>2.8</v>
      </c>
      <c r="D29" s="199">
        <v>3.9</v>
      </c>
      <c r="E29" s="4">
        <f t="shared" si="5"/>
        <v>1.1000000000000001</v>
      </c>
      <c r="F29" s="148" t="s">
        <v>112</v>
      </c>
      <c r="G29" s="192">
        <f t="shared" si="6"/>
        <v>3.22</v>
      </c>
      <c r="H29" s="250" t="s">
        <v>10</v>
      </c>
    </row>
    <row r="30" spans="3:129" ht="31.5">
      <c r="C30" s="199">
        <v>17.2</v>
      </c>
      <c r="D30" s="199">
        <v>24.1</v>
      </c>
      <c r="E30" s="4">
        <f t="shared" si="5"/>
        <v>6.9000000000000021</v>
      </c>
      <c r="F30" s="151" t="s">
        <v>123</v>
      </c>
      <c r="G30" s="192">
        <f t="shared" si="6"/>
        <v>19.829999999999998</v>
      </c>
      <c r="H30" s="251"/>
    </row>
    <row r="31" spans="3:129" ht="31.5">
      <c r="C31" s="199">
        <v>19</v>
      </c>
      <c r="D31" s="199">
        <v>26.6</v>
      </c>
      <c r="E31" s="4">
        <f t="shared" si="5"/>
        <v>7.6000000000000014</v>
      </c>
      <c r="F31" s="151" t="s">
        <v>122</v>
      </c>
      <c r="G31" s="192">
        <f t="shared" si="6"/>
        <v>21.9</v>
      </c>
      <c r="H31" s="251"/>
    </row>
    <row r="32" spans="3:129" ht="17.25">
      <c r="C32" s="199">
        <v>21.5</v>
      </c>
      <c r="D32" s="199">
        <v>30.1</v>
      </c>
      <c r="E32" s="4">
        <f t="shared" si="5"/>
        <v>8.6000000000000014</v>
      </c>
      <c r="F32" s="148" t="s">
        <v>2</v>
      </c>
      <c r="G32" s="192">
        <f t="shared" si="6"/>
        <v>24.78</v>
      </c>
      <c r="H32" s="251"/>
    </row>
    <row r="33" spans="3:8" ht="18" thickBot="1">
      <c r="C33" s="199">
        <v>2.8</v>
      </c>
      <c r="D33" s="199">
        <v>3.9</v>
      </c>
      <c r="E33" s="4">
        <f t="shared" si="5"/>
        <v>1.1000000000000001</v>
      </c>
      <c r="F33" s="152" t="s">
        <v>116</v>
      </c>
      <c r="G33" s="193">
        <f t="shared" si="6"/>
        <v>3.22</v>
      </c>
      <c r="H33" s="252"/>
    </row>
    <row r="34" spans="3:8" ht="13.5" thickBot="1">
      <c r="F34" s="107"/>
    </row>
    <row r="35" spans="3:8" ht="17.25">
      <c r="F35" s="161" t="s">
        <v>25</v>
      </c>
      <c r="G35" s="177"/>
    </row>
    <row r="36" spans="3:8" ht="17.25" hidden="1">
      <c r="C36" s="4">
        <f>'7%'!C43</f>
        <v>0</v>
      </c>
      <c r="D36" s="4">
        <f>'7%'!G43</f>
        <v>0</v>
      </c>
      <c r="E36" s="4">
        <f t="shared" ref="E36:E40" si="7">D36-C36</f>
        <v>0</v>
      </c>
      <c r="F36" s="148" t="s">
        <v>112</v>
      </c>
      <c r="G36" s="178">
        <f t="shared" ref="G36:G40" si="8">ROUND(IF($F$5&gt;$J$1,D36,IF($F$5&lt;$I$1,C36,C36+ROUND(E36/$I$2*($F$5-$I$1),2))),2)</f>
        <v>0</v>
      </c>
    </row>
    <row r="37" spans="3:8" ht="17.25">
      <c r="C37" s="199">
        <v>22.1</v>
      </c>
      <c r="D37" s="199">
        <v>30.9</v>
      </c>
      <c r="E37" s="4">
        <f>D37-C37</f>
        <v>8.7999999999999972</v>
      </c>
      <c r="F37" s="148" t="s">
        <v>110</v>
      </c>
      <c r="G37" s="179">
        <f>ROUND(IF($F$5&gt;$J$1,D37,IF($F$5&lt;$I$1,C37,C37+ROUND(E37/$I$2*($F$5-$I$1),2))),2)</f>
        <v>25.45</v>
      </c>
    </row>
    <row r="38" spans="3:8" ht="17.25">
      <c r="C38" s="199">
        <v>67.92</v>
      </c>
      <c r="D38" s="199">
        <v>95.1</v>
      </c>
      <c r="E38" s="4">
        <f>D38-C38</f>
        <v>27.179999999999993</v>
      </c>
      <c r="F38" s="148" t="s">
        <v>26</v>
      </c>
      <c r="G38" s="179">
        <f>ROUND(IF($F$5&gt;$J$1,D38,IF($F$5&lt;$I$1,C38,C38+ROUND(E38/$I$2*($F$5-$I$1),2))),2)</f>
        <v>78.27</v>
      </c>
    </row>
    <row r="39" spans="3:8" ht="17.25">
      <c r="C39" s="199">
        <v>84.9</v>
      </c>
      <c r="D39" s="199">
        <v>118.9</v>
      </c>
      <c r="E39" s="4">
        <f>D39-C39</f>
        <v>34</v>
      </c>
      <c r="F39" s="148" t="s">
        <v>27</v>
      </c>
      <c r="G39" s="179">
        <f>ROUND(IF($F$5&gt;$J$1,D39,IF($F$5&lt;$I$1,C39,C39+ROUND(E39/$I$2*($F$5-$I$1),2))),2)</f>
        <v>97.85</v>
      </c>
    </row>
    <row r="40" spans="3:8" ht="18" hidden="1" thickBot="1">
      <c r="C40" s="4">
        <f>'7%'!C47</f>
        <v>0</v>
      </c>
      <c r="D40" s="4">
        <f>'7%'!G47</f>
        <v>0</v>
      </c>
      <c r="E40" s="4">
        <f t="shared" si="7"/>
        <v>0</v>
      </c>
      <c r="F40" s="152" t="s">
        <v>111</v>
      </c>
      <c r="G40" s="180">
        <f t="shared" si="8"/>
        <v>0</v>
      </c>
    </row>
  </sheetData>
  <sheetProtection sheet="1" objects="1" scenarios="1"/>
  <mergeCells count="4">
    <mergeCell ref="G8:J8"/>
    <mergeCell ref="F8:F9"/>
    <mergeCell ref="H24:H27"/>
    <mergeCell ref="H29:H33"/>
  </mergeCells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>
    <oddHeader>&amp;LA L E F&amp;C&amp;"Arial,Gras"&amp;12Tarification dégressive 
2011-2012 Gries&amp;R&amp;D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50"/>
  <sheetViews>
    <sheetView showGridLines="0" workbookViewId="0">
      <selection activeCell="P30" sqref="P30"/>
    </sheetView>
  </sheetViews>
  <sheetFormatPr baseColWidth="10" defaultRowHeight="12.75"/>
  <cols>
    <col min="1" max="1" width="14.28515625" customWidth="1"/>
    <col min="2" max="2" width="6.5703125" customWidth="1"/>
    <col min="3" max="3" width="8.85546875" customWidth="1"/>
    <col min="4" max="4" width="10.7109375" customWidth="1"/>
    <col min="5" max="5" width="20.5703125" customWidth="1"/>
    <col min="6" max="6" width="2.42578125" customWidth="1"/>
    <col min="8" max="8" width="3.28515625" customWidth="1"/>
    <col min="9" max="9" width="3.85546875" customWidth="1"/>
    <col min="10" max="10" width="8.5703125" customWidth="1"/>
    <col min="11" max="11" width="1.5703125" customWidth="1"/>
    <col min="12" max="12" width="8.5703125" customWidth="1"/>
    <col min="13" max="13" width="2.42578125" customWidth="1"/>
  </cols>
  <sheetData>
    <row r="1" spans="1:13" ht="29.25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ht="18">
      <c r="A2" s="254" t="s">
        <v>42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1:13" ht="29.25">
      <c r="A3" s="205" t="s">
        <v>125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</row>
    <row r="4" spans="1:13" ht="20.25">
      <c r="A4" s="255" t="s">
        <v>126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>
      <c r="A7" s="256" t="s">
        <v>43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</row>
    <row r="8" spans="1:13">
      <c r="A8" s="256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</row>
    <row r="9" spans="1:13">
      <c r="A9" s="257" t="s">
        <v>44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</row>
    <row r="10" spans="1:13">
      <c r="A10" s="1"/>
      <c r="B10" s="15"/>
      <c r="C10" s="15"/>
      <c r="D10" s="170">
        <f>simulateur!I1</f>
        <v>400</v>
      </c>
      <c r="E10" s="1"/>
      <c r="F10" s="1"/>
      <c r="G10" s="15"/>
      <c r="H10" s="15"/>
      <c r="I10" s="15"/>
      <c r="J10" s="15"/>
      <c r="K10" s="15"/>
      <c r="L10" s="15"/>
    </row>
    <row r="11" spans="1:13">
      <c r="A11" s="257" t="s">
        <v>45</v>
      </c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</row>
    <row r="12" spans="1:13">
      <c r="A12" s="1"/>
      <c r="B12" s="1"/>
      <c r="C12" s="1"/>
      <c r="D12" s="170">
        <f>simulateur!J1</f>
        <v>2500</v>
      </c>
      <c r="E12" s="1"/>
      <c r="F12" s="1"/>
      <c r="G12" s="1"/>
      <c r="H12" s="1"/>
      <c r="I12" s="1"/>
      <c r="J12" s="1"/>
      <c r="K12" s="1"/>
      <c r="L12" s="1"/>
    </row>
    <row r="13" spans="1:13">
      <c r="A13" s="257" t="s">
        <v>46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</row>
    <row r="14" spans="1:13">
      <c r="A14" s="16"/>
      <c r="B14" s="16"/>
      <c r="C14" s="16"/>
      <c r="D14" s="171">
        <f>EcartMiniMaxi</f>
        <v>0.4</v>
      </c>
      <c r="E14" s="16"/>
      <c r="F14" s="16"/>
      <c r="G14" s="16"/>
      <c r="H14" s="16"/>
      <c r="I14" s="16"/>
      <c r="J14" s="16"/>
      <c r="K14" s="16"/>
      <c r="L14" s="16"/>
    </row>
    <row r="15" spans="1:13">
      <c r="A15" s="259" t="s">
        <v>47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17"/>
    </row>
    <row r="17" spans="1:13">
      <c r="A17" s="68" t="s">
        <v>96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8"/>
    </row>
    <row r="19" spans="1:13" ht="13.5" thickBot="1">
      <c r="A19" s="19" t="s">
        <v>48</v>
      </c>
    </row>
    <row r="20" spans="1:13" ht="13.5" thickBot="1">
      <c r="A20" s="20">
        <f>simulateur!C13</f>
        <v>206.2</v>
      </c>
      <c r="B20" s="21" t="s">
        <v>49</v>
      </c>
      <c r="C20" s="51">
        <f>D10</f>
        <v>400</v>
      </c>
      <c r="D20" s="21" t="s">
        <v>50</v>
      </c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19" t="s">
        <v>51</v>
      </c>
    </row>
    <row r="22" spans="1:13">
      <c r="A22" s="22">
        <f>simulateur!D13</f>
        <v>288.7</v>
      </c>
      <c r="B22" s="21" t="s">
        <v>49</v>
      </c>
      <c r="C22" s="51">
        <f>D12</f>
        <v>2500</v>
      </c>
      <c r="D22" s="21" t="s">
        <v>50</v>
      </c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3"/>
      <c r="B23" s="19"/>
      <c r="C23" s="24"/>
      <c r="D23" s="19"/>
      <c r="F23" s="25"/>
      <c r="G23" s="25"/>
      <c r="H23" s="25"/>
      <c r="I23" s="25"/>
      <c r="J23" s="25"/>
      <c r="K23" s="25"/>
      <c r="L23" s="25"/>
      <c r="M23" s="25"/>
    </row>
    <row r="24" spans="1:13">
      <c r="A24" s="19" t="s">
        <v>52</v>
      </c>
      <c r="F24" s="25"/>
      <c r="G24" s="18" t="s">
        <v>53</v>
      </c>
      <c r="H24" s="25"/>
      <c r="I24" s="25"/>
      <c r="J24" s="25"/>
      <c r="K24" s="25"/>
      <c r="L24" s="25"/>
      <c r="M24" s="25"/>
    </row>
    <row r="25" spans="1:13">
      <c r="A25" s="51">
        <f>D12-D10</f>
        <v>2100</v>
      </c>
      <c r="B25" s="21" t="s">
        <v>49</v>
      </c>
      <c r="C25" s="51">
        <f>A25+D10</f>
        <v>2500</v>
      </c>
      <c r="D25" s="21" t="s">
        <v>50</v>
      </c>
      <c r="E25" s="21"/>
      <c r="F25" s="26"/>
      <c r="G25" s="194">
        <v>2100</v>
      </c>
      <c r="H25" s="195" t="s">
        <v>49</v>
      </c>
      <c r="I25" s="195"/>
      <c r="J25" s="196">
        <v>2500</v>
      </c>
      <c r="K25" s="26" t="s">
        <v>50</v>
      </c>
      <c r="L25" s="27"/>
      <c r="M25" s="27"/>
    </row>
    <row r="26" spans="1:13" ht="13.5" thickBot="1">
      <c r="A26" s="19" t="s">
        <v>54</v>
      </c>
      <c r="F26" s="25"/>
      <c r="G26" s="18" t="s">
        <v>55</v>
      </c>
      <c r="H26" s="25"/>
      <c r="I26" s="25"/>
      <c r="J26" s="25"/>
      <c r="K26" s="25"/>
      <c r="L26" s="25"/>
      <c r="M26" s="25"/>
    </row>
    <row r="27" spans="1:13" ht="13.5" thickBot="1">
      <c r="A27" s="197">
        <f>A22-A20</f>
        <v>82.5</v>
      </c>
      <c r="B27" s="2"/>
      <c r="C27" s="2"/>
      <c r="D27" s="2"/>
      <c r="E27" s="2"/>
      <c r="F27" s="27"/>
      <c r="G27" s="28">
        <f>A27*G25/A25</f>
        <v>82.5</v>
      </c>
      <c r="H27" s="26" t="s">
        <v>56</v>
      </c>
      <c r="I27" s="27"/>
      <c r="J27" s="27"/>
      <c r="K27" s="27"/>
      <c r="L27" s="27"/>
      <c r="M27" s="27"/>
    </row>
    <row r="28" spans="1:13">
      <c r="F28" s="25"/>
      <c r="G28" s="29">
        <f>A27</f>
        <v>82.5</v>
      </c>
      <c r="H28" s="30"/>
      <c r="I28" s="30" t="s">
        <v>57</v>
      </c>
      <c r="J28" s="31">
        <f>G25</f>
        <v>2100</v>
      </c>
      <c r="K28" s="32" t="s">
        <v>58</v>
      </c>
      <c r="L28" s="31">
        <f>A25</f>
        <v>2100</v>
      </c>
      <c r="M28" s="25"/>
    </row>
    <row r="29" spans="1:13">
      <c r="F29" s="25"/>
      <c r="G29" s="25"/>
      <c r="H29" s="25"/>
      <c r="I29" s="25"/>
      <c r="J29" s="25"/>
      <c r="K29" s="25"/>
      <c r="L29" s="25"/>
      <c r="M29" s="25"/>
    </row>
    <row r="31" spans="1:13">
      <c r="A31" s="33" t="s">
        <v>59</v>
      </c>
      <c r="B31" s="33"/>
      <c r="C31" s="33"/>
      <c r="D31" s="33"/>
      <c r="E31" s="34"/>
      <c r="F31" s="34"/>
      <c r="G31" s="34"/>
      <c r="H31" s="34"/>
      <c r="I31" s="34"/>
      <c r="J31" s="34"/>
      <c r="K31" s="34"/>
      <c r="L31" s="34"/>
      <c r="M31" s="34"/>
    </row>
    <row r="32" spans="1:13" ht="13.5" thickBot="1">
      <c r="A32" s="19" t="s">
        <v>60</v>
      </c>
      <c r="G32" s="35"/>
    </row>
    <row r="33" spans="1:13" ht="13.5" thickBot="1">
      <c r="A33" s="36">
        <f>A20</f>
        <v>206.2</v>
      </c>
      <c r="B33" s="37" t="s">
        <v>61</v>
      </c>
      <c r="C33" s="36">
        <f>G27</f>
        <v>82.5</v>
      </c>
      <c r="D33" s="37" t="s">
        <v>62</v>
      </c>
      <c r="E33" s="38">
        <f>C33+A33</f>
        <v>288.7</v>
      </c>
      <c r="F33" s="2"/>
      <c r="G33" s="2"/>
      <c r="H33" s="2"/>
      <c r="I33" s="2"/>
      <c r="J33" s="2"/>
      <c r="K33" s="2"/>
      <c r="L33" s="2"/>
      <c r="M33" s="2"/>
    </row>
    <row r="36" spans="1:13">
      <c r="A36" s="19" t="s">
        <v>63</v>
      </c>
    </row>
    <row r="37" spans="1:13">
      <c r="A37" s="260" t="s">
        <v>97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2"/>
    </row>
    <row r="38" spans="1:13">
      <c r="A38" t="s">
        <v>64</v>
      </c>
      <c r="G38" t="s">
        <v>65</v>
      </c>
      <c r="I38" s="1"/>
      <c r="J38" s="1"/>
      <c r="K38" s="1"/>
      <c r="L38" s="1"/>
      <c r="M38" s="39"/>
    </row>
    <row r="39" spans="1:13">
      <c r="A39" s="40" t="s">
        <v>66</v>
      </c>
      <c r="B39" s="1"/>
      <c r="C39" s="1"/>
      <c r="D39" s="1"/>
      <c r="E39" s="1"/>
      <c r="F39" s="1"/>
      <c r="G39" s="41">
        <f>Horscollectivité</f>
        <v>0.2</v>
      </c>
      <c r="H39" s="1"/>
      <c r="I39" s="1"/>
      <c r="J39" s="1"/>
      <c r="K39" s="1"/>
      <c r="L39" s="1"/>
      <c r="M39" s="39"/>
    </row>
    <row r="40" spans="1:13">
      <c r="A40" s="42"/>
      <c r="B40" s="43"/>
      <c r="C40" s="43"/>
      <c r="D40" s="43"/>
      <c r="E40" s="43"/>
      <c r="F40" s="43"/>
      <c r="G40" s="44"/>
      <c r="H40" s="43"/>
      <c r="I40" s="43"/>
      <c r="J40" s="43"/>
      <c r="K40" s="43"/>
      <c r="L40" s="43"/>
      <c r="M40" s="45"/>
    </row>
    <row r="42" spans="1:13">
      <c r="A42" s="19" t="s">
        <v>67</v>
      </c>
    </row>
    <row r="43" spans="1:13">
      <c r="A43" s="46" t="str">
        <f>'[1]Simulateur de tarif'!K31</f>
        <v xml:space="preserve">Une réduction s'applique pour les fratries: 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8"/>
    </row>
    <row r="44" spans="1:13">
      <c r="A44" s="49">
        <f>'[1]Simulateur de tarif'!J32</f>
        <v>-0.05</v>
      </c>
      <c r="B44" s="41" t="s">
        <v>98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39"/>
    </row>
    <row r="45" spans="1:13">
      <c r="A45" s="49">
        <f>'[1]Simulateur de tarif'!J33</f>
        <v>-0.1</v>
      </c>
      <c r="B45" s="41" t="s">
        <v>99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39"/>
    </row>
    <row r="46" spans="1:13">
      <c r="A46" s="50">
        <f>'[1]Simulateur de tarif'!J34</f>
        <v>-0.15</v>
      </c>
      <c r="B46" s="44" t="s">
        <v>100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5"/>
    </row>
    <row r="48" spans="1:13">
      <c r="A48" s="263" t="s">
        <v>68</v>
      </c>
      <c r="B48" s="263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</row>
    <row r="50" spans="1:13" ht="16.5">
      <c r="A50" s="253" t="s">
        <v>69</v>
      </c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</row>
  </sheetData>
  <mergeCells count="12">
    <mergeCell ref="A50:M50"/>
    <mergeCell ref="A1:M1"/>
    <mergeCell ref="A2:M2"/>
    <mergeCell ref="A3:M3"/>
    <mergeCell ref="A4:M4"/>
    <mergeCell ref="A7:L8"/>
    <mergeCell ref="A9:L9"/>
    <mergeCell ref="A11:L11"/>
    <mergeCell ref="A13:L13"/>
    <mergeCell ref="A15:L15"/>
    <mergeCell ref="A37:M37"/>
    <mergeCell ref="A48:M48"/>
  </mergeCells>
  <pageMargins left="0.7" right="0.7" top="0.75" bottom="0.75" header="0.3" footer="0.3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13</vt:i4>
      </vt:variant>
    </vt:vector>
  </HeadingPairs>
  <TitlesOfParts>
    <vt:vector size="16" baseType="lpstr">
      <vt:lpstr>7%</vt:lpstr>
      <vt:lpstr>simulateur</vt:lpstr>
      <vt:lpstr>commentaires</vt:lpstr>
      <vt:lpstr>Augmentationgénérale</vt:lpstr>
      <vt:lpstr>EcartMiniMaxi</vt:lpstr>
      <vt:lpstr>Horscollectivité</vt:lpstr>
      <vt:lpstr>MAjo1jour</vt:lpstr>
      <vt:lpstr>Majo2jours</vt:lpstr>
      <vt:lpstr>midisoir</vt:lpstr>
      <vt:lpstr>midisoirmercredi</vt:lpstr>
      <vt:lpstr>Ponctuelmercredi</vt:lpstr>
      <vt:lpstr>Ponctuelpéri</vt:lpstr>
      <vt:lpstr>QFplafond</vt:lpstr>
      <vt:lpstr>QFplancher</vt:lpstr>
      <vt:lpstr>'7%'!Zone_d_impression</vt:lpstr>
      <vt:lpstr>commentaires!Zone_d_impression</vt:lpstr>
    </vt:vector>
  </TitlesOfParts>
  <Company>alef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</dc:creator>
  <cp:lastModifiedBy>ALEF - Sandrine Woehl</cp:lastModifiedBy>
  <cp:lastPrinted>2021-06-24T10:55:53Z</cp:lastPrinted>
  <dcterms:created xsi:type="dcterms:W3CDTF">2007-04-02T07:54:31Z</dcterms:created>
  <dcterms:modified xsi:type="dcterms:W3CDTF">2023-02-14T12:33:06Z</dcterms:modified>
</cp:coreProperties>
</file>